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3.232\Intranet\CLEVERSON\Licitações\Coleta de lixo emergêncial 2024\"/>
    </mc:Choice>
  </mc:AlternateContent>
  <bookViews>
    <workbookView xWindow="0" yWindow="0" windowWidth="24000" windowHeight="9735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Domiciliar'!$A$1:$F$360</definedName>
    <definedName name="_xlnm.Print_Area" localSheetId="1">'2.Encargos Sociais'!$A$1:$C$37</definedName>
    <definedName name="_xlnm.Print_Titles" localSheetId="0">'1. Coleta Domiciliar'!$1:$11</definedName>
  </definedNames>
  <calcPr calcId="152511"/>
</workbook>
</file>

<file path=xl/calcChain.xml><?xml version="1.0" encoding="utf-8"?>
<calcChain xmlns="http://schemas.openxmlformats.org/spreadsheetml/2006/main">
  <c r="C334" i="2" l="1"/>
  <c r="E172" i="2" l="1"/>
  <c r="E171" i="2"/>
  <c r="E169" i="2"/>
  <c r="E170" i="2"/>
  <c r="D172" i="2"/>
  <c r="F173" i="2" s="1"/>
  <c r="A32" i="2" l="1"/>
  <c r="A43" i="2"/>
  <c r="A42" i="2"/>
  <c r="A41" i="2"/>
  <c r="A40" i="2"/>
  <c r="A39" i="2"/>
  <c r="A38" i="2"/>
  <c r="A37" i="2"/>
  <c r="E318" i="2" l="1"/>
  <c r="E317" i="2"/>
  <c r="E319" i="2"/>
  <c r="E320" i="2"/>
  <c r="E321" i="2"/>
  <c r="E322" i="2"/>
  <c r="E323" i="2"/>
  <c r="E324" i="2"/>
  <c r="E316" i="2"/>
  <c r="A23" i="2"/>
  <c r="A20" i="2"/>
  <c r="A60" i="2"/>
  <c r="E56" i="2"/>
  <c r="A55" i="2"/>
  <c r="A54" i="2"/>
  <c r="A53" i="2"/>
  <c r="F325" i="2" l="1"/>
  <c r="C128" i="2"/>
  <c r="C127" i="2"/>
  <c r="C307" i="2" l="1"/>
  <c r="E305" i="2"/>
  <c r="D306" i="2" s="1"/>
  <c r="D294" i="2"/>
  <c r="C294" i="2"/>
  <c r="E286" i="2"/>
  <c r="E284" i="2"/>
  <c r="E279" i="2"/>
  <c r="D272" i="2"/>
  <c r="E272" i="2" s="1"/>
  <c r="E268" i="2"/>
  <c r="C265" i="2"/>
  <c r="E261" i="2"/>
  <c r="E332" i="2"/>
  <c r="D333" i="2" s="1"/>
  <c r="E333" i="2" s="1"/>
  <c r="E334" i="2"/>
  <c r="D335" i="2" s="1"/>
  <c r="E335" i="2" s="1"/>
  <c r="E336" i="2"/>
  <c r="E80" i="2"/>
  <c r="E79" i="2"/>
  <c r="E89" i="2"/>
  <c r="D92" i="2" s="1"/>
  <c r="E92" i="2" s="1"/>
  <c r="E93" i="2" s="1"/>
  <c r="D94" i="2" s="1"/>
  <c r="E81" i="2" l="1"/>
  <c r="D82" i="2" s="1"/>
  <c r="C274" i="2"/>
  <c r="D283" i="2"/>
  <c r="D295" i="2"/>
  <c r="E306" i="2"/>
  <c r="D307" i="2" s="1"/>
  <c r="E307" i="2" s="1"/>
  <c r="F308" i="2" s="1"/>
  <c r="E43" i="2" s="1"/>
  <c r="D264" i="2"/>
  <c r="E264" i="2" s="1"/>
  <c r="D265" i="2" s="1"/>
  <c r="E265" i="2" s="1"/>
  <c r="E266" i="2" s="1"/>
  <c r="D267" i="2" s="1"/>
  <c r="E267" i="2" s="1"/>
  <c r="F268" i="2" s="1"/>
  <c r="E38" i="2" s="1"/>
  <c r="F327" i="2"/>
  <c r="C300" i="2"/>
  <c r="E300" i="2" s="1"/>
  <c r="F301" i="2" s="1"/>
  <c r="E42" i="2" s="1"/>
  <c r="E294" i="2"/>
  <c r="F336" i="2"/>
  <c r="F338" i="2" s="1"/>
  <c r="C275" i="2" l="1"/>
  <c r="D276" i="2" s="1"/>
  <c r="E276" i="2" s="1"/>
  <c r="F296" i="2"/>
  <c r="E41" i="2" s="1"/>
  <c r="E277" i="2" l="1"/>
  <c r="D278" i="2" s="1"/>
  <c r="E278" i="2" s="1"/>
  <c r="F279" i="2" s="1"/>
  <c r="E39" i="2" s="1"/>
  <c r="E250" i="2" l="1"/>
  <c r="C187" i="2" l="1"/>
  <c r="E183" i="2"/>
  <c r="C12" i="9"/>
  <c r="C13" i="9" s="1"/>
  <c r="D186" i="2" l="1"/>
  <c r="E186" i="2" s="1"/>
  <c r="D187" i="2" s="1"/>
  <c r="E187" i="2" s="1"/>
  <c r="E283" i="2"/>
  <c r="D285" i="2" s="1"/>
  <c r="E285" i="2" s="1"/>
  <c r="F286" i="2" s="1"/>
  <c r="E40" i="2" s="1"/>
  <c r="E37" i="2" s="1"/>
  <c r="E70" i="2" l="1"/>
  <c r="C19" i="9" l="1"/>
  <c r="C27" i="5" l="1"/>
  <c r="D233" i="2" l="1"/>
  <c r="E158" i="2" l="1"/>
  <c r="E150" i="2"/>
  <c r="C221" i="2" l="1"/>
  <c r="C220" i="2"/>
  <c r="A46" i="2" l="1"/>
  <c r="A45" i="2"/>
  <c r="A44" i="2"/>
  <c r="A28" i="2"/>
  <c r="A27" i="2"/>
  <c r="A18" i="2"/>
  <c r="C15" i="9" l="1"/>
  <c r="C20" i="9" s="1"/>
  <c r="C22" i="9" s="1"/>
  <c r="C191" i="2"/>
  <c r="E59" i="2" l="1"/>
  <c r="C210" i="2" l="1"/>
  <c r="C205" i="2"/>
  <c r="D239" i="2"/>
  <c r="D237" i="2"/>
  <c r="D235" i="2"/>
  <c r="D166" i="2" l="1"/>
  <c r="E166" i="2" s="1"/>
  <c r="E151" i="2"/>
  <c r="E152" i="2"/>
  <c r="E153" i="2"/>
  <c r="E154" i="2"/>
  <c r="E155" i="2"/>
  <c r="E156" i="2"/>
  <c r="E157" i="2"/>
  <c r="E159" i="2"/>
  <c r="D160" i="2" l="1"/>
  <c r="E160" i="2" s="1"/>
  <c r="C254" i="2" l="1"/>
  <c r="D102" i="2"/>
  <c r="D114" i="2" s="1"/>
  <c r="A36" i="2"/>
  <c r="A35" i="2"/>
  <c r="A34" i="2"/>
  <c r="A33" i="2"/>
  <c r="A31" i="2"/>
  <c r="A30" i="2"/>
  <c r="A29" i="2"/>
  <c r="A26" i="2"/>
  <c r="A25" i="2"/>
  <c r="A24" i="2"/>
  <c r="A22" i="2"/>
  <c r="A21" i="2"/>
  <c r="A19" i="2"/>
  <c r="C18" i="8"/>
  <c r="E223" i="2"/>
  <c r="E211" i="2"/>
  <c r="E195" i="2"/>
  <c r="E173" i="2"/>
  <c r="E161" i="2"/>
  <c r="F161" i="2" s="1"/>
  <c r="E141" i="2"/>
  <c r="E97" i="2"/>
  <c r="D199" i="2"/>
  <c r="C12" i="4"/>
  <c r="C17" i="4" s="1"/>
  <c r="C345" i="2" s="1"/>
  <c r="F10" i="4"/>
  <c r="E10" i="4"/>
  <c r="D10" i="4"/>
  <c r="C15" i="8"/>
  <c r="C29" i="5"/>
  <c r="C104" i="2"/>
  <c r="D101" i="2"/>
  <c r="D128" i="2"/>
  <c r="C252" i="2"/>
  <c r="E252" i="2" s="1"/>
  <c r="C231" i="2"/>
  <c r="D231" i="2"/>
  <c r="D240" i="2" s="1"/>
  <c r="C201" i="2"/>
  <c r="C202" i="2" s="1"/>
  <c r="D204" i="2"/>
  <c r="C192" i="2"/>
  <c r="C188" i="2"/>
  <c r="C204" i="2" s="1"/>
  <c r="A52" i="2"/>
  <c r="A59" i="2"/>
  <c r="E69" i="2"/>
  <c r="D127" i="2" s="1"/>
  <c r="A133" i="2"/>
  <c r="A139" i="2" s="1"/>
  <c r="A134" i="2"/>
  <c r="A140" i="2" s="1"/>
  <c r="D167" i="2"/>
  <c r="E167" i="2" s="1"/>
  <c r="D168" i="2"/>
  <c r="E168" i="2" s="1"/>
  <c r="D169" i="2"/>
  <c r="D170" i="2"/>
  <c r="D171" i="2"/>
  <c r="E221" i="2"/>
  <c r="E101" i="2" l="1"/>
  <c r="D113" i="2"/>
  <c r="E113" i="2" s="1"/>
  <c r="D116" i="2" s="1"/>
  <c r="E116" i="2" s="1"/>
  <c r="E117" i="2" s="1"/>
  <c r="D118" i="2" s="1"/>
  <c r="C233" i="2"/>
  <c r="E233" i="2" s="1"/>
  <c r="C245" i="2"/>
  <c r="E245" i="2" s="1"/>
  <c r="F246" i="2" s="1"/>
  <c r="E35" i="2" s="1"/>
  <c r="C31" i="5"/>
  <c r="C32" i="5" s="1"/>
  <c r="C30" i="5"/>
  <c r="C29" i="8" s="1"/>
  <c r="D220" i="2"/>
  <c r="C237" i="2"/>
  <c r="E237" i="2" s="1"/>
  <c r="C239" i="2"/>
  <c r="E239" i="2" s="1"/>
  <c r="F241" i="2" s="1"/>
  <c r="E44" i="2"/>
  <c r="E134" i="2"/>
  <c r="E231" i="2"/>
  <c r="E188" i="2"/>
  <c r="C206" i="2" s="1"/>
  <c r="E133" i="2"/>
  <c r="E139" i="2"/>
  <c r="E127" i="2"/>
  <c r="E204" i="2"/>
  <c r="E140" i="2"/>
  <c r="E71" i="2"/>
  <c r="D72" i="2" s="1"/>
  <c r="C235" i="2"/>
  <c r="E235" i="2" s="1"/>
  <c r="E45" i="2"/>
  <c r="E199" i="2"/>
  <c r="D253" i="2"/>
  <c r="E128" i="2"/>
  <c r="E253" i="2" l="1"/>
  <c r="D254" i="2" s="1"/>
  <c r="E254" i="2" s="1"/>
  <c r="F255" i="2" s="1"/>
  <c r="E36" i="2" s="1"/>
  <c r="C28" i="8"/>
  <c r="C37" i="5"/>
  <c r="C25" i="8" s="1"/>
  <c r="C33" i="8" s="1"/>
  <c r="E220" i="2"/>
  <c r="D222" i="2" s="1"/>
  <c r="E222" i="2" s="1"/>
  <c r="D203" i="2"/>
  <c r="E203" i="2" s="1"/>
  <c r="C26" i="8"/>
  <c r="C17" i="8" s="1"/>
  <c r="C23" i="8" s="1"/>
  <c r="C32" i="8" s="1"/>
  <c r="D104" i="2"/>
  <c r="E104" i="2" s="1"/>
  <c r="F135" i="2"/>
  <c r="F141" i="2"/>
  <c r="E26" i="2" s="1"/>
  <c r="F175" i="2"/>
  <c r="D191" i="2"/>
  <c r="E191" i="2" s="1"/>
  <c r="D192" i="2" s="1"/>
  <c r="E192" i="2" s="1"/>
  <c r="E193" i="2" s="1"/>
  <c r="F129" i="2"/>
  <c r="E24" i="2" s="1"/>
  <c r="E34" i="2"/>
  <c r="F223" i="2" l="1"/>
  <c r="E33" i="2" s="1"/>
  <c r="E25" i="2"/>
  <c r="C27" i="8"/>
  <c r="C30" i="8" s="1"/>
  <c r="C34" i="8"/>
  <c r="D194" i="2"/>
  <c r="E194" i="2" s="1"/>
  <c r="F195" i="2" s="1"/>
  <c r="C207" i="2"/>
  <c r="D208" i="2" s="1"/>
  <c r="E208" i="2" s="1"/>
  <c r="E209" i="2" s="1"/>
  <c r="D210" i="2" s="1"/>
  <c r="E210" i="2" s="1"/>
  <c r="E27" i="2"/>
  <c r="E105" i="2"/>
  <c r="D106" i="2" s="1"/>
  <c r="E30" i="2" l="1"/>
  <c r="F211" i="2"/>
  <c r="C35" i="8"/>
  <c r="C94" i="2" l="1"/>
  <c r="E94" i="2" s="1"/>
  <c r="C118" i="2"/>
  <c r="E118" i="2" s="1"/>
  <c r="E119" i="2" s="1"/>
  <c r="D120" i="2" s="1"/>
  <c r="E120" i="2" s="1"/>
  <c r="F121" i="2" s="1"/>
  <c r="E23" i="2" s="1"/>
  <c r="C82" i="2"/>
  <c r="E82" i="2" s="1"/>
  <c r="E83" i="2" s="1"/>
  <c r="D84" i="2" s="1"/>
  <c r="E84" i="2" s="1"/>
  <c r="F85" i="2" s="1"/>
  <c r="E20" i="2" s="1"/>
  <c r="D215" i="2"/>
  <c r="E215" i="2" s="1"/>
  <c r="F216" i="2" s="1"/>
  <c r="E31" i="2"/>
  <c r="C72" i="2"/>
  <c r="E72" i="2" s="1"/>
  <c r="E73" i="2" s="1"/>
  <c r="D74" i="2" s="1"/>
  <c r="E74" i="2" s="1"/>
  <c r="C106" i="2"/>
  <c r="E106" i="2" s="1"/>
  <c r="E107" i="2" s="1"/>
  <c r="D108" i="2" s="1"/>
  <c r="E108" i="2" s="1"/>
  <c r="F109" i="2" s="1"/>
  <c r="E95" i="2"/>
  <c r="D96" i="2" s="1"/>
  <c r="E96" i="2" s="1"/>
  <c r="F97" i="2" s="1"/>
  <c r="E21" i="2" s="1"/>
  <c r="E32" i="2" l="1"/>
  <c r="E29" i="2" s="1"/>
  <c r="F311" i="2"/>
  <c r="E28" i="2" s="1"/>
  <c r="F75" i="2"/>
  <c r="E19" i="2" s="1"/>
  <c r="F143" i="2"/>
  <c r="E18" i="2" s="1"/>
  <c r="E22" i="2"/>
  <c r="F340" i="2" l="1"/>
  <c r="D345" i="2" l="1"/>
  <c r="E345" i="2" s="1"/>
  <c r="F346" i="2" s="1"/>
  <c r="F348" i="2" s="1"/>
  <c r="F351" i="2" s="1"/>
  <c r="F356" i="2" l="1"/>
  <c r="E46" i="2"/>
  <c r="E47" i="2" s="1"/>
  <c r="F32" i="2" l="1"/>
  <c r="F27" i="2"/>
  <c r="F34" i="2"/>
  <c r="F45" i="2"/>
  <c r="F23" i="2"/>
  <c r="F20" i="2"/>
  <c r="F28" i="2"/>
  <c r="F19" i="2"/>
  <c r="F26" i="2"/>
  <c r="F18" i="2"/>
  <c r="F25" i="2"/>
  <c r="F22" i="2"/>
  <c r="F33" i="2"/>
  <c r="F21" i="2"/>
  <c r="F35" i="2"/>
  <c r="F39" i="2"/>
  <c r="F36" i="2"/>
  <c r="F41" i="2"/>
  <c r="F42" i="2"/>
  <c r="F37" i="2"/>
  <c r="F38" i="2"/>
  <c r="F40" i="2"/>
  <c r="F43" i="2"/>
  <c r="F44" i="2"/>
  <c r="F29" i="2"/>
  <c r="F30" i="2"/>
  <c r="F24" i="2"/>
  <c r="F31" i="2"/>
  <c r="F46" i="2"/>
  <c r="F47" i="2" l="1"/>
</calcChain>
</file>

<file path=xl/comments1.xml><?xml version="1.0" encoding="utf-8"?>
<comments xmlns="http://schemas.openxmlformats.org/spreadsheetml/2006/main">
  <authors>
    <author>Clauber Bridi</author>
  </authors>
  <commentList>
    <comment ref="A16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82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6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8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1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4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5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6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9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0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1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4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0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B227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0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0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2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4" authorId="0" shape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4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6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6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8" authorId="0" shape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8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5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50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5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51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2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3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D261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62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263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264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7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73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4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B290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93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93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D300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305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305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306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316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1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17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1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23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24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329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2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334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45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54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2" authorId="2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17" authorId="0" shape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8" authorId="0" shape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1" authorId="1" shapeId="0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<sst xmlns="http://schemas.openxmlformats.org/spreadsheetml/2006/main" count="653" uniqueCount="324">
  <si>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</si>
  <si>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</si>
  <si>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</si>
  <si>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</si>
  <si>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</si>
  <si>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</si>
  <si>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</si>
  <si>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</si>
  <si>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</si>
  <si>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IPVA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</si>
  <si>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</si>
  <si>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</si>
  <si>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</si>
  <si>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</si>
  <si>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</si>
  <si>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</si>
  <si>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</si>
  <si>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</si>
  <si>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</si>
  <si>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</si>
  <si>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</si>
  <si>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</si>
  <si>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</si>
  <si>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</si>
  <si>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Calça</t>
  </si>
  <si>
    <t>Camiseta</t>
  </si>
  <si>
    <t>Boné</t>
  </si>
  <si>
    <t>Luva de proteção</t>
  </si>
  <si>
    <t>R$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</si>
  <si>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</si>
  <si>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</si>
  <si>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</si>
  <si>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</si>
  <si>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</si>
  <si>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</si>
  <si>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</si>
  <si>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</si>
  <si>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</si>
  <si>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</si>
  <si>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</si>
  <si>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</si>
  <si>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</si>
  <si>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</si>
  <si>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</si>
  <si>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</si>
  <si>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</si>
  <si>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</si>
  <si>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</si>
  <si>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</si>
  <si>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</si>
  <si>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</si>
  <si>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</si>
  <si>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</si>
  <si>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</si>
  <si>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</si>
  <si>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</si>
  <si>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</si>
  <si>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</si>
  <si>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</si>
  <si>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</si>
  <si>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</si>
  <si>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</si>
  <si>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</si>
  <si>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</si>
  <si>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</si>
  <si>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</si>
  <si>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</si>
  <si>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</si>
  <si>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</si>
  <si>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</si>
  <si>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</si>
  <si>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</si>
  <si>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</si>
  <si>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</si>
  <si>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</si>
  <si>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</si>
  <si>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</si>
  <si>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</si>
  <si>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</si>
  <si>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</si>
  <si>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</si>
  <si>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</si>
  <si>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</si>
  <si>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</si>
  <si>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</si>
  <si>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Meia de algodão com cano alto</t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</si>
  <si>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</si>
  <si>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</si>
  <si>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</si>
  <si>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</si>
  <si>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</si>
  <si>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</si>
  <si>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</si>
  <si>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</si>
  <si>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</si>
  <si>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</si>
  <si>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</si>
  <si>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</si>
  <si>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</si>
  <si>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</si>
  <si>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</si>
  <si>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</si>
  <si>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</si>
  <si>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</si>
  <si>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</si>
  <si>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</si>
  <si>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</si>
  <si>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</si>
  <si>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</si>
  <si>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</si>
  <si>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</si>
  <si>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</si>
  <si>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</si>
  <si>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</si>
  <si>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</si>
  <si>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</si>
  <si>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</si>
  <si>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</si>
  <si>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</si>
  <si>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</si>
  <si>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</si>
  <si>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</si>
  <si>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</si>
  <si>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</si>
  <si>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</si>
  <si>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</si>
  <si>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</si>
  <si>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</si>
  <si>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</si>
  <si>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</si>
  <si>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</si>
  <si>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</si>
  <si>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</si>
  <si>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</si>
  <si>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</si>
  <si>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</si>
  <si>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</si>
  <si>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</si>
  <si>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</si>
  <si>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</si>
  <si>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</si>
  <si>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</si>
  <si>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</si>
  <si>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</si>
  <si>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</si>
  <si>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</si>
  <si>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</si>
  <si>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</si>
  <si>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</si>
  <si>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</si>
  <si>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</si>
  <si>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</si>
  <si>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</si>
  <si>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</si>
  <si>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</si>
  <si>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</si>
  <si>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</si>
  <si>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</si>
  <si>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</si>
  <si>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</si>
  <si>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</si>
  <si>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</si>
  <si>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</si>
  <si>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</si>
  <si>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</si>
  <si>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</si>
  <si>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</si>
  <si>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</si>
  <si>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</si>
  <si>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</si>
  <si>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</si>
  <si>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</si>
  <si>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</si>
  <si>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</si>
  <si>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</si>
  <si>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</si>
  <si>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</si>
  <si>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</si>
  <si>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</si>
  <si>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</si>
  <si>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</si>
  <si>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</si>
  <si>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</si>
  <si>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</si>
  <si>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Custo Mensal com Uniformes e EPIs (R$/mês)</t>
  </si>
  <si>
    <t>Descrição do Item</t>
  </si>
  <si>
    <t>Orçamento Sintético</t>
  </si>
  <si>
    <t>Orientações para preenchimento: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</si>
  <si>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</si>
  <si>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</si>
  <si>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</si>
  <si>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</si>
  <si>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</si>
  <si>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</si>
  <si>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</si>
  <si>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</si>
  <si>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</si>
  <si>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</si>
  <si>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</si>
  <si>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</si>
  <si>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</si>
  <si>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</si>
  <si>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</si>
  <si>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</si>
  <si>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</si>
  <si>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</si>
  <si>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</si>
  <si>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</si>
  <si>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</si>
  <si>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</si>
  <si>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</si>
  <si>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</si>
  <si>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</si>
  <si>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</si>
  <si>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</si>
  <si>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</si>
  <si>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</si>
  <si>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</si>
  <si>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</si>
  <si>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</si>
  <si>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</si>
  <si>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</si>
  <si>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</si>
  <si>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</si>
  <si>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</si>
  <si>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</si>
  <si>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</si>
  <si>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</si>
  <si>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</si>
  <si>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</si>
  <si>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</si>
  <si>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</si>
  <si>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</si>
  <si>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</si>
  <si>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</si>
  <si>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</si>
  <si>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</si>
  <si>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</si>
  <si>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</si>
  <si>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</si>
  <si>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</si>
  <si>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</si>
  <si>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</si>
  <si>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</si>
  <si>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</si>
  <si>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</si>
  <si>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</si>
  <si>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</si>
  <si>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</si>
  <si>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</si>
  <si>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</si>
  <si>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</si>
  <si>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</si>
  <si>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</si>
  <si>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</si>
  <si>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</si>
  <si>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</si>
  <si>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Depreciação Média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</si>
  <si>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</si>
  <si>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</si>
  <si>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</si>
  <si>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</si>
  <si>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</si>
  <si>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</si>
  <si>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</si>
  <si>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</si>
  <si>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</si>
  <si>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 xml:space="preserve">1.1. Coletor </t>
  </si>
  <si>
    <t>Orientação TCE Rio Grande do Sul página 84</t>
  </si>
  <si>
    <t>PREÇO POR KM RODADO:  [A/B]</t>
  </si>
  <si>
    <t xml:space="preserve">  </t>
  </si>
  <si>
    <t>Paraná  - Coleta de Resíduos Não-Perigosos - CNAE 38114</t>
  </si>
  <si>
    <r>
      <t>3.1. Veículo Coletor Compactador</t>
    </r>
    <r>
      <rPr>
        <sz val="10"/>
        <color indexed="10"/>
        <rFont val="Arial"/>
        <family val="2"/>
      </rPr>
      <t xml:space="preserve"> 15</t>
    </r>
    <r>
      <rPr>
        <sz val="10"/>
        <rFont val="Arial"/>
        <family val="2"/>
      </rPr>
      <t xml:space="preserve"> m³</t>
    </r>
  </si>
  <si>
    <t>R$/ton</t>
  </si>
  <si>
    <t xml:space="preserve">Quantidade média de resíduos coletados por mês: </t>
  </si>
  <si>
    <t>Calçado de segurança NR 38</t>
  </si>
  <si>
    <t>Jaqueta com refletivo (NBR 15.292)</t>
  </si>
  <si>
    <t>Colete refletivo</t>
  </si>
  <si>
    <t>Conjunto impermeável amarela com refletivo</t>
  </si>
  <si>
    <t>3.1.3 Remuneração de frota reserva</t>
  </si>
  <si>
    <t>Orientação TCE Rio Grande do Sul página 41</t>
  </si>
  <si>
    <t>Remuneração mensal frota reserva</t>
  </si>
  <si>
    <t xml:space="preserve">3.1.6. Manutenção e higienização </t>
  </si>
  <si>
    <t>3.1.7. Pneus</t>
  </si>
  <si>
    <t>3.2. Veículo utilitário</t>
  </si>
  <si>
    <t>3.2.1. Depreciação</t>
  </si>
  <si>
    <t xml:space="preserve">Custo de aquisição </t>
  </si>
  <si>
    <t xml:space="preserve">Vida útil </t>
  </si>
  <si>
    <t xml:space="preserve">Depreciação </t>
  </si>
  <si>
    <t>Depreciação mensal veículo</t>
  </si>
  <si>
    <t>3.2.2. Remuneração do Capital</t>
  </si>
  <si>
    <t>3.2.3. Impostos e Seguros</t>
  </si>
  <si>
    <t xml:space="preserve">3.2.5. Manutenção e higienização </t>
  </si>
  <si>
    <t>3.2.6. Pneus</t>
  </si>
  <si>
    <t>Custo de combustível / km rodado</t>
  </si>
  <si>
    <t>Custo mensal com combustível</t>
  </si>
  <si>
    <t>3.2.4. Consumos combustível</t>
  </si>
  <si>
    <t xml:space="preserve">Custo de manutenção </t>
  </si>
  <si>
    <r>
      <t xml:space="preserve">Custo jg. compl. </t>
    </r>
    <r>
      <rPr>
        <sz val="10"/>
        <rFont val="Arial"/>
        <family val="2"/>
      </rPr>
      <t>/ km rodado</t>
    </r>
  </si>
  <si>
    <t xml:space="preserve">1.2. Coletor para limpeza e coletas especificas </t>
  </si>
  <si>
    <t>1.5. Motorista veículos leves</t>
  </si>
  <si>
    <t>2.2. Uniformes e EPIs para motoristas</t>
  </si>
  <si>
    <t>Vassoura tipo gari</t>
  </si>
  <si>
    <t>Carrinho Lutocar (100 litros)</t>
  </si>
  <si>
    <t>Saco de lixo (200 litros)</t>
  </si>
  <si>
    <t>Cones de sinalização</t>
  </si>
  <si>
    <t>Rastelo/Ancinho</t>
  </si>
  <si>
    <t>1. Preencher somente células em amarelo</t>
  </si>
  <si>
    <t>2. As células azuis deverão ter seus valores preenchidos em outra planilha do arquivo.</t>
  </si>
  <si>
    <t>O orçamento deve ser realizado por responsável técnico habilitado e é de responsabilidade do seu autor.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</si>
  <si>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</si>
  <si>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</si>
  <si>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</si>
  <si>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"Paraná"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</si>
  <si>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</si>
  <si>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</si>
  <si>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6. Preencha as células em amarelo</t>
  </si>
  <si>
    <t>3.1.3. Impostos e Seguros</t>
  </si>
  <si>
    <t>3.1.4. Consumos</t>
  </si>
  <si>
    <t>1.2. Motorista coleta</t>
  </si>
  <si>
    <t>1.3. Motorista transporte</t>
  </si>
  <si>
    <t>1.4. Vale Transporte</t>
  </si>
  <si>
    <t>1.5. Vale-refeição (mês)</t>
  </si>
  <si>
    <t>1.6. Auxílio Alimentação (mensal)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</si>
</sst>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0.0"/>
    <numFmt numFmtId="174" formatCode="_-* #,##0.0_-;\-* #,##0.0_-;_-* &quot;-&quot;?_-;_-@_-"/>
    <numFmt numFmtId="175" formatCode="_(* #,##0.0_);_(* \(#,##0.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5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6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5" xfId="0" applyFont="1" applyBorder="1"/>
    <xf numFmtId="0" fontId="5" fillId="3" borderId="46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6" xfId="0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0" xfId="0" applyFont="1" applyBorder="1"/>
    <xf numFmtId="0" fontId="20" fillId="0" borderId="50" xfId="0" applyFont="1" applyBorder="1" applyAlignment="1">
      <alignment horizontal="justify"/>
    </xf>
    <xf numFmtId="0" fontId="20" fillId="0" borderId="51" xfId="0" applyFont="1" applyBorder="1" applyAlignment="1">
      <alignment horizontal="justify"/>
    </xf>
    <xf numFmtId="0" fontId="17" fillId="10" borderId="49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165" fontId="3" fillId="0" borderId="52" xfId="3" applyFont="1" applyBorder="1" applyAlignment="1">
      <alignment horizontal="center" vertical="center"/>
    </xf>
    <xf numFmtId="165" fontId="3" fillId="0" borderId="52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5" fillId="0" borderId="23" xfId="0" applyFont="1" applyBorder="1" applyAlignment="1">
      <alignment horizontal="right"/>
    </xf>
    <xf numFmtId="0" fontId="4" fillId="0" borderId="0" xfId="0" applyFont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5" fillId="0" borderId="20" xfId="0" applyFont="1" applyFill="1" applyBorder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3" xfId="0" applyFont="1" applyBorder="1"/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65" fontId="0" fillId="0" borderId="0" xfId="3" applyFont="1" applyFill="1" applyBorder="1" applyAlignment="1">
      <alignment horizontal="center" vertical="center"/>
    </xf>
    <xf numFmtId="165" fontId="0" fillId="0" borderId="39" xfId="3" applyFont="1" applyFill="1" applyBorder="1" applyAlignment="1">
      <alignment horizontal="center" vertical="center"/>
    </xf>
    <xf numFmtId="165" fontId="3" fillId="0" borderId="35" xfId="3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0" fontId="3" fillId="0" borderId="15" xfId="2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0" fontId="0" fillId="0" borderId="15" xfId="2" applyNumberFormat="1" applyFont="1" applyBorder="1" applyAlignment="1">
      <alignment horizontal="center" vertical="center"/>
    </xf>
    <xf numFmtId="10" fontId="6" fillId="0" borderId="15" xfId="2" applyNumberFormat="1" applyFont="1" applyBorder="1" applyAlignment="1">
      <alignment horizontal="center" vertical="center"/>
    </xf>
    <xf numFmtId="168" fontId="3" fillId="0" borderId="36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9" fontId="3" fillId="0" borderId="18" xfId="2" applyFont="1" applyBorder="1" applyAlignment="1">
      <alignment horizontal="center" vertical="center"/>
    </xf>
    <xf numFmtId="165" fontId="3" fillId="0" borderId="13" xfId="3" applyFont="1" applyBorder="1" applyAlignment="1">
      <alignment horizontal="center" vertical="center"/>
    </xf>
    <xf numFmtId="165" fontId="6" fillId="0" borderId="39" xfId="3" applyFont="1" applyBorder="1" applyAlignment="1">
      <alignment horizontal="center" vertical="center"/>
    </xf>
    <xf numFmtId="165" fontId="3" fillId="0" borderId="7" xfId="3" applyFont="1" applyBorder="1" applyAlignment="1">
      <alignment horizontal="center" vertical="center"/>
    </xf>
    <xf numFmtId="165" fontId="6" fillId="0" borderId="0" xfId="3" applyFont="1" applyAlignment="1">
      <alignment horizontal="center"/>
    </xf>
    <xf numFmtId="165" fontId="6" fillId="0" borderId="7" xfId="3" applyFont="1" applyBorder="1" applyAlignment="1">
      <alignment horizontal="center" vertical="center"/>
    </xf>
    <xf numFmtId="165" fontId="3" fillId="0" borderId="0" xfId="3" applyFont="1" applyBorder="1" applyAlignment="1">
      <alignment horizontal="center" vertical="center"/>
    </xf>
    <xf numFmtId="165" fontId="4" fillId="0" borderId="0" xfId="3" applyFont="1" applyBorder="1" applyAlignment="1">
      <alignment horizontal="center" vertical="center"/>
    </xf>
    <xf numFmtId="165" fontId="5" fillId="0" borderId="0" xfId="3" applyFont="1" applyAlignment="1">
      <alignment horizontal="center" vertical="center"/>
    </xf>
    <xf numFmtId="165" fontId="1" fillId="0" borderId="10" xfId="3" applyFont="1" applyBorder="1" applyAlignment="1">
      <alignment horizontal="center" vertical="center"/>
    </xf>
    <xf numFmtId="13" fontId="6" fillId="3" borderId="1" xfId="0" applyNumberFormat="1" applyFont="1" applyFill="1" applyBorder="1" applyAlignment="1">
      <alignment vertical="center"/>
    </xf>
    <xf numFmtId="165" fontId="6" fillId="3" borderId="2" xfId="3" applyFont="1" applyFill="1" applyBorder="1" applyAlignment="1">
      <alignment vertical="center"/>
    </xf>
    <xf numFmtId="165" fontId="1" fillId="3" borderId="2" xfId="3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73" fontId="5" fillId="0" borderId="20" xfId="0" applyNumberFormat="1" applyFont="1" applyBorder="1"/>
    <xf numFmtId="174" fontId="5" fillId="0" borderId="20" xfId="0" applyNumberFormat="1" applyFont="1" applyBorder="1"/>
    <xf numFmtId="0" fontId="1" fillId="0" borderId="0" xfId="0" applyFont="1" applyFill="1" applyAlignment="1">
      <alignment vertical="center"/>
    </xf>
    <xf numFmtId="165" fontId="6" fillId="0" borderId="0" xfId="3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165" fontId="6" fillId="11" borderId="0" xfId="3" applyFont="1" applyFill="1" applyAlignment="1">
      <alignment vertical="center"/>
    </xf>
    <xf numFmtId="0" fontId="1" fillId="0" borderId="1" xfId="0" applyFont="1" applyBorder="1"/>
    <xf numFmtId="43" fontId="6" fillId="0" borderId="0" xfId="0" applyNumberFormat="1" applyFont="1" applyFill="1" applyAlignment="1">
      <alignment vertical="center"/>
    </xf>
    <xf numFmtId="165" fontId="6" fillId="0" borderId="0" xfId="3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5" fontId="13" fillId="0" borderId="0" xfId="3" applyFont="1" applyFill="1" applyBorder="1" applyAlignment="1">
      <alignment horizontal="center" vertical="center"/>
    </xf>
    <xf numFmtId="165" fontId="13" fillId="9" borderId="4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65" fontId="10" fillId="0" borderId="1" xfId="3" applyFont="1" applyFill="1" applyBorder="1" applyAlignment="1">
      <alignment horizontal="center" vertical="center"/>
    </xf>
    <xf numFmtId="175" fontId="6" fillId="3" borderId="2" xfId="3" applyNumberFormat="1" applyFont="1" applyFill="1" applyBorder="1" applyAlignment="1">
      <alignment horizontal="center" vertical="center"/>
    </xf>
    <xf numFmtId="165" fontId="6" fillId="0" borderId="54" xfId="3" applyFont="1" applyBorder="1" applyAlignment="1">
      <alignment vertical="center"/>
    </xf>
    <xf numFmtId="165" fontId="3" fillId="0" borderId="55" xfId="3" applyFont="1" applyBorder="1" applyAlignment="1">
      <alignment vertical="center"/>
    </xf>
    <xf numFmtId="4" fontId="3" fillId="0" borderId="40" xfId="0" applyNumberFormat="1" applyFont="1" applyBorder="1" applyAlignment="1">
      <alignment vertical="center"/>
    </xf>
    <xf numFmtId="0" fontId="0" fillId="0" borderId="40" xfId="0" applyBorder="1" applyAlignment="1">
      <alignment vertical="center"/>
    </xf>
    <xf numFmtId="1" fontId="3" fillId="0" borderId="2" xfId="3" applyNumberFormat="1" applyFont="1" applyBorder="1" applyAlignment="1">
      <alignment horizontal="center" vertical="center"/>
    </xf>
    <xf numFmtId="165" fontId="6" fillId="0" borderId="8" xfId="3" applyFont="1" applyBorder="1" applyAlignment="1">
      <alignment vertical="center"/>
    </xf>
    <xf numFmtId="1" fontId="6" fillId="0" borderId="1" xfId="3" applyNumberFormat="1" applyFont="1" applyBorder="1" applyAlignment="1">
      <alignment horizontal="center" vertical="center"/>
    </xf>
    <xf numFmtId="165" fontId="6" fillId="0" borderId="53" xfId="3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1" fontId="6" fillId="0" borderId="46" xfId="3" applyNumberFormat="1" applyFont="1" applyBorder="1" applyAlignment="1">
      <alignment horizontal="center" vertical="center"/>
    </xf>
    <xf numFmtId="165" fontId="1" fillId="3" borderId="2" xfId="3" applyFont="1" applyFill="1" applyBorder="1" applyAlignment="1">
      <alignment horizontal="center" vertical="center"/>
    </xf>
    <xf numFmtId="0" fontId="3" fillId="2" borderId="4" xfId="3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13" fontId="6" fillId="0" borderId="1" xfId="0" applyNumberFormat="1" applyFont="1" applyFill="1" applyBorder="1" applyAlignment="1">
      <alignment vertical="center"/>
    </xf>
    <xf numFmtId="165" fontId="6" fillId="0" borderId="9" xfId="3" applyNumberFormat="1" applyFont="1" applyFill="1" applyBorder="1" applyAlignment="1">
      <alignment vertical="center"/>
    </xf>
    <xf numFmtId="171" fontId="5" fillId="0" borderId="20" xfId="0" applyNumberFormat="1" applyFont="1" applyFill="1" applyBorder="1"/>
    <xf numFmtId="172" fontId="5" fillId="0" borderId="20" xfId="0" applyNumberFormat="1" applyFont="1" applyFill="1" applyBorder="1"/>
    <xf numFmtId="4" fontId="4" fillId="0" borderId="0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1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4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1333499</xdr:colOff>
      <xdr:row>4</xdr:row>
      <xdr:rowOff>37554</xdr:rowOff>
    </xdr:from>
    <xdr:to>
      <xdr:col>3</xdr:col>
      <xdr:colOff>600074</xdr:colOff>
      <xdr:row>11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9" y="837654"/>
          <a:ext cx="4238625" cy="1429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0"/>
  <sheetViews>
    <sheetView tabSelected="1" view="pageBreakPreview" topLeftCell="A339" zoomScaleNormal="100" zoomScaleSheetLayoutView="100" workbookViewId="0">
      <selection activeCell="D349" sqref="D349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4" style="7" customWidth="1"/>
    <col min="4" max="4" width="14.7109375" style="8" customWidth="1"/>
    <col min="5" max="5" width="15.42578125" style="18" customWidth="1"/>
    <col min="6" max="6" width="13.28515625" style="1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t="15.75" x14ac:dyDescent="0.2">
      <c r="A1" s="266" t="s">
        <v>187</v>
      </c>
    </row>
    <row r="2" spans="1:7" ht="15" x14ac:dyDescent="0.2">
      <c r="A2" s="333" t="s">
        <v>307</v>
      </c>
    </row>
    <row r="3" spans="1:7" ht="15" x14ac:dyDescent="0.2">
      <c r="A3" s="267" t="s">
        <v>308</v>
      </c>
    </row>
    <row r="4" spans="1:7" ht="15.75" x14ac:dyDescent="0.2">
      <c r="A4" s="266"/>
    </row>
    <row r="5" spans="1:7" ht="15.75" x14ac:dyDescent="0.2">
      <c r="A5" s="266"/>
    </row>
    <row r="6" spans="1:7" ht="15.75" x14ac:dyDescent="0.2">
      <c r="A6" s="268"/>
    </row>
    <row r="7" spans="1:7" ht="15.75" x14ac:dyDescent="0.2">
      <c r="A7" s="268"/>
    </row>
    <row r="8" spans="1:7" ht="15.75" x14ac:dyDescent="0.2">
      <c r="A8" s="268"/>
    </row>
    <row r="9" spans="1:7" s="3" customFormat="1" ht="15.6" customHeight="1" x14ac:dyDescent="0.2">
      <c r="A9" s="267"/>
      <c r="B9" s="115"/>
      <c r="C9" s="115"/>
      <c r="D9" s="115"/>
      <c r="E9" s="278"/>
      <c r="F9" s="278"/>
      <c r="G9" s="4"/>
    </row>
    <row r="10" spans="1:7" s="3" customFormat="1" ht="15.6" customHeight="1" x14ac:dyDescent="0.2">
      <c r="A10" s="114"/>
      <c r="B10" s="115"/>
      <c r="C10" s="115"/>
      <c r="D10" s="115"/>
      <c r="E10" s="278"/>
      <c r="F10" s="278"/>
      <c r="G10" s="4"/>
    </row>
    <row r="11" spans="1:7" s="3" customFormat="1" ht="15.6" customHeight="1" x14ac:dyDescent="0.2">
      <c r="A11" s="268"/>
      <c r="B11" s="115"/>
      <c r="C11" s="115"/>
      <c r="D11" s="115"/>
      <c r="E11" s="278"/>
      <c r="F11" s="278"/>
      <c r="G11" s="4"/>
    </row>
    <row r="12" spans="1:7" s="3" customFormat="1" ht="15.6" customHeight="1" thickBot="1" x14ac:dyDescent="0.25">
      <c r="A12" s="268"/>
      <c r="B12" s="115"/>
      <c r="C12" s="115"/>
      <c r="D12" s="115"/>
      <c r="E12" s="278"/>
      <c r="F12" s="278"/>
      <c r="G12" s="4"/>
    </row>
    <row r="13" spans="1:7" s="6" customFormat="1" ht="18" x14ac:dyDescent="0.2">
      <c r="A13" s="344" t="s">
        <v>198</v>
      </c>
      <c r="B13" s="345"/>
      <c r="C13" s="345"/>
      <c r="D13" s="345"/>
      <c r="E13" s="345"/>
      <c r="F13" s="346"/>
      <c r="G13" s="29"/>
    </row>
    <row r="14" spans="1:7" s="6" customFormat="1" ht="21.75" customHeight="1" x14ac:dyDescent="0.2">
      <c r="A14" s="347" t="s">
        <v>36</v>
      </c>
      <c r="B14" s="348"/>
      <c r="C14" s="348"/>
      <c r="D14" s="348"/>
      <c r="E14" s="348"/>
      <c r="F14" s="349"/>
      <c r="G14" s="29"/>
    </row>
    <row r="15" spans="1:7" s="3" customFormat="1" ht="10.9" customHeight="1" thickBot="1" x14ac:dyDescent="0.25">
      <c r="A15" s="125"/>
      <c r="B15" s="126"/>
      <c r="C15" s="126"/>
      <c r="D15" s="127"/>
      <c r="E15" s="279"/>
      <c r="F15" s="280"/>
      <c r="G15" s="4"/>
    </row>
    <row r="16" spans="1:7" s="3" customFormat="1" ht="15.75" customHeight="1" thickBot="1" x14ac:dyDescent="0.25">
      <c r="A16" s="353" t="s">
        <v>186</v>
      </c>
      <c r="B16" s="354"/>
      <c r="C16" s="354"/>
      <c r="D16" s="354"/>
      <c r="E16" s="354"/>
      <c r="F16" s="355"/>
      <c r="G16" s="4"/>
    </row>
    <row r="17" spans="1:7" s="3" customFormat="1" ht="15.75" customHeight="1" x14ac:dyDescent="0.2">
      <c r="A17" s="55" t="s">
        <v>185</v>
      </c>
      <c r="B17" s="33"/>
      <c r="C17" s="33"/>
      <c r="D17" s="226"/>
      <c r="E17" s="281" t="s">
        <v>31</v>
      </c>
      <c r="F17" s="34" t="s">
        <v>1</v>
      </c>
      <c r="G17" s="4"/>
    </row>
    <row r="18" spans="1:7" s="9" customFormat="1" ht="15.75" customHeight="1" x14ac:dyDescent="0.2">
      <c r="A18" s="107" t="str">
        <f>A65</f>
        <v>1. Mão-de-obra</v>
      </c>
      <c r="B18" s="108"/>
      <c r="C18" s="109"/>
      <c r="D18" s="109"/>
      <c r="E18" s="282">
        <f>+F143</f>
        <v>0</v>
      </c>
      <c r="F18" s="283">
        <f>IFERROR(E18/$E$47,0)</f>
        <v>0</v>
      </c>
      <c r="G18" s="37"/>
    </row>
    <row r="19" spans="1:7" s="3" customFormat="1" ht="15.75" customHeight="1" x14ac:dyDescent="0.2">
      <c r="A19" s="41" t="str">
        <f>A67</f>
        <v xml:space="preserve">1.1. Coletor </v>
      </c>
      <c r="B19" s="38"/>
      <c r="C19" s="40"/>
      <c r="D19" s="40"/>
      <c r="E19" s="284">
        <f>F75</f>
        <v>0</v>
      </c>
      <c r="F19" s="285">
        <f>IFERROR(E19/$E$47,0)</f>
        <v>0</v>
      </c>
      <c r="G19" s="4"/>
    </row>
    <row r="20" spans="1:7" s="3" customFormat="1" ht="15.75" hidden="1" customHeight="1" x14ac:dyDescent="0.2">
      <c r="A20" s="41" t="str">
        <f>A77</f>
        <v xml:space="preserve">1.2. Coletor para limpeza e coletas especificas </v>
      </c>
      <c r="B20" s="38"/>
      <c r="C20" s="40"/>
      <c r="D20" s="40"/>
      <c r="E20" s="284">
        <f>F85</f>
        <v>0</v>
      </c>
      <c r="F20" s="285">
        <f t="shared" ref="F20:F26" si="0">IFERROR(E20/$E$47,0)</f>
        <v>0</v>
      </c>
      <c r="G20" s="4"/>
    </row>
    <row r="21" spans="1:7" s="3" customFormat="1" ht="15.75" customHeight="1" x14ac:dyDescent="0.2">
      <c r="A21" s="41" t="str">
        <f>A87</f>
        <v>1.2. Motorista coleta</v>
      </c>
      <c r="B21" s="38"/>
      <c r="C21" s="40"/>
      <c r="D21" s="40"/>
      <c r="E21" s="284">
        <f>F97</f>
        <v>0</v>
      </c>
      <c r="F21" s="285">
        <f t="shared" si="0"/>
        <v>0</v>
      </c>
      <c r="G21" s="4"/>
    </row>
    <row r="22" spans="1:7" s="3" customFormat="1" ht="15.75" customHeight="1" x14ac:dyDescent="0.2">
      <c r="A22" s="41" t="str">
        <f>A99</f>
        <v>1.3. Motorista transporte</v>
      </c>
      <c r="B22" s="38"/>
      <c r="C22" s="40"/>
      <c r="D22" s="40"/>
      <c r="E22" s="284">
        <f>F109</f>
        <v>0</v>
      </c>
      <c r="F22" s="285">
        <f t="shared" si="0"/>
        <v>0</v>
      </c>
      <c r="G22" s="4"/>
    </row>
    <row r="23" spans="1:7" s="3" customFormat="1" ht="15.75" hidden="1" customHeight="1" x14ac:dyDescent="0.2">
      <c r="A23" s="41" t="str">
        <f>A111</f>
        <v>1.5. Motorista veículos leves</v>
      </c>
      <c r="B23" s="38"/>
      <c r="C23" s="40"/>
      <c r="D23" s="40"/>
      <c r="E23" s="284">
        <f>F121</f>
        <v>0</v>
      </c>
      <c r="F23" s="285">
        <f t="shared" si="0"/>
        <v>0</v>
      </c>
      <c r="G23" s="4"/>
    </row>
    <row r="24" spans="1:7" s="3" customFormat="1" ht="15.75" customHeight="1" x14ac:dyDescent="0.2">
      <c r="A24" s="41" t="str">
        <f>A123</f>
        <v>1.4. Vale Transporte</v>
      </c>
      <c r="B24" s="38"/>
      <c r="C24" s="40"/>
      <c r="D24" s="40"/>
      <c r="E24" s="284">
        <f>F129</f>
        <v>0</v>
      </c>
      <c r="F24" s="285">
        <f t="shared" si="0"/>
        <v>0</v>
      </c>
      <c r="G24" s="4"/>
    </row>
    <row r="25" spans="1:7" s="3" customFormat="1" ht="15.75" customHeight="1" x14ac:dyDescent="0.2">
      <c r="A25" s="41" t="str">
        <f>A131</f>
        <v>1.5. Vale-refeição (mês)</v>
      </c>
      <c r="B25" s="38"/>
      <c r="C25" s="40"/>
      <c r="D25" s="40"/>
      <c r="E25" s="284">
        <f>F135</f>
        <v>0</v>
      </c>
      <c r="F25" s="285">
        <f t="shared" si="0"/>
        <v>0</v>
      </c>
      <c r="G25" s="4"/>
    </row>
    <row r="26" spans="1:7" s="3" customFormat="1" ht="15.75" customHeight="1" x14ac:dyDescent="0.2">
      <c r="A26" s="41" t="str">
        <f>A137</f>
        <v>1.6. Auxílio Alimentação (mensal)</v>
      </c>
      <c r="B26" s="38"/>
      <c r="C26" s="40"/>
      <c r="D26" s="40"/>
      <c r="E26" s="284">
        <f>F141</f>
        <v>0</v>
      </c>
      <c r="F26" s="285">
        <f t="shared" si="0"/>
        <v>0</v>
      </c>
      <c r="G26" s="4"/>
    </row>
    <row r="27" spans="1:7" s="9" customFormat="1" ht="15.75" customHeight="1" x14ac:dyDescent="0.2">
      <c r="A27" s="342" t="str">
        <f>A145</f>
        <v>2. Uniformes e Equipamentos de Proteção Individual</v>
      </c>
      <c r="B27" s="343"/>
      <c r="C27" s="343"/>
      <c r="D27" s="109"/>
      <c r="E27" s="282">
        <f>+F175</f>
        <v>0</v>
      </c>
      <c r="F27" s="283">
        <f t="shared" ref="F27:F36" si="1">IFERROR(E27/$E$47,0)</f>
        <v>0</v>
      </c>
      <c r="G27" s="37"/>
    </row>
    <row r="28" spans="1:7" s="9" customFormat="1" ht="15.75" customHeight="1" x14ac:dyDescent="0.2">
      <c r="A28" s="112" t="str">
        <f>A177</f>
        <v>3. Veículos e Equipamentos</v>
      </c>
      <c r="B28" s="113"/>
      <c r="C28" s="109"/>
      <c r="D28" s="109"/>
      <c r="E28" s="282">
        <f>+F311</f>
        <v>0</v>
      </c>
      <c r="F28" s="283">
        <f t="shared" si="1"/>
        <v>0</v>
      </c>
      <c r="G28" s="37"/>
    </row>
    <row r="29" spans="1:7" s="3" customFormat="1" ht="15.75" customHeight="1" x14ac:dyDescent="0.2">
      <c r="A29" s="56" t="str">
        <f>A179</f>
        <v>3.1. Veículo Coletor Compactador 15 m³</v>
      </c>
      <c r="B29" s="39"/>
      <c r="C29" s="40"/>
      <c r="D29" s="40"/>
      <c r="E29" s="284">
        <f>SUM(E30:E36)</f>
        <v>0</v>
      </c>
      <c r="F29" s="286">
        <f t="shared" si="1"/>
        <v>0</v>
      </c>
      <c r="G29" s="4"/>
    </row>
    <row r="30" spans="1:7" s="3" customFormat="1" ht="15.75" customHeight="1" x14ac:dyDescent="0.2">
      <c r="A30" s="56" t="str">
        <f>A181</f>
        <v>3.1.1. Depreciação</v>
      </c>
      <c r="B30" s="39"/>
      <c r="C30" s="40"/>
      <c r="D30" s="40"/>
      <c r="E30" s="284">
        <f>F195</f>
        <v>0</v>
      </c>
      <c r="F30" s="286">
        <f t="shared" si="1"/>
        <v>0</v>
      </c>
      <c r="G30" s="4"/>
    </row>
    <row r="31" spans="1:7" s="3" customFormat="1" ht="15.75" customHeight="1" x14ac:dyDescent="0.2">
      <c r="A31" s="56" t="str">
        <f>A197</f>
        <v>3.1.2. Remuneração do Capital</v>
      </c>
      <c r="B31" s="39"/>
      <c r="C31" s="40"/>
      <c r="D31" s="40"/>
      <c r="E31" s="284">
        <f>F211</f>
        <v>0</v>
      </c>
      <c r="F31" s="286">
        <f t="shared" si="1"/>
        <v>0</v>
      </c>
      <c r="G31" s="4"/>
    </row>
    <row r="32" spans="1:7" s="3" customFormat="1" ht="15.75" hidden="1" customHeight="1" x14ac:dyDescent="0.2">
      <c r="A32" s="56" t="str">
        <f>A213</f>
        <v>3.1.3 Remuneração de frota reserva</v>
      </c>
      <c r="B32" s="39"/>
      <c r="C32" s="40"/>
      <c r="D32" s="40"/>
      <c r="E32" s="284">
        <f>F216</f>
        <v>0</v>
      </c>
      <c r="F32" s="286">
        <f t="shared" si="1"/>
        <v>0</v>
      </c>
      <c r="G32" s="4"/>
    </row>
    <row r="33" spans="1:7" s="3" customFormat="1" ht="15.75" customHeight="1" x14ac:dyDescent="0.2">
      <c r="A33" s="56" t="str">
        <f>A218</f>
        <v>3.1.3. Impostos e Seguros</v>
      </c>
      <c r="B33" s="39"/>
      <c r="C33" s="40"/>
      <c r="D33" s="40"/>
      <c r="E33" s="284">
        <f>F223</f>
        <v>0</v>
      </c>
      <c r="F33" s="286">
        <f t="shared" si="1"/>
        <v>0</v>
      </c>
      <c r="G33" s="4"/>
    </row>
    <row r="34" spans="1:7" s="3" customFormat="1" ht="15.75" customHeight="1" x14ac:dyDescent="0.2">
      <c r="A34" s="56" t="str">
        <f>A225</f>
        <v>3.1.4. Consumos</v>
      </c>
      <c r="B34" s="39"/>
      <c r="C34" s="40"/>
      <c r="D34" s="40"/>
      <c r="E34" s="284">
        <f>F241</f>
        <v>0</v>
      </c>
      <c r="F34" s="286">
        <f t="shared" si="1"/>
        <v>0</v>
      </c>
      <c r="G34" s="4"/>
    </row>
    <row r="35" spans="1:7" s="3" customFormat="1" ht="15.75" customHeight="1" x14ac:dyDescent="0.2">
      <c r="A35" s="56" t="str">
        <f>A243</f>
        <v xml:space="preserve">3.1.6. Manutenção e higienização </v>
      </c>
      <c r="B35" s="39"/>
      <c r="C35" s="40"/>
      <c r="D35" s="40"/>
      <c r="E35" s="284">
        <f>F246</f>
        <v>0</v>
      </c>
      <c r="F35" s="286">
        <f t="shared" si="1"/>
        <v>0</v>
      </c>
      <c r="G35" s="4"/>
    </row>
    <row r="36" spans="1:7" s="3" customFormat="1" ht="15.75" customHeight="1" x14ac:dyDescent="0.2">
      <c r="A36" s="56" t="str">
        <f>A248</f>
        <v>3.1.7. Pneus</v>
      </c>
      <c r="B36" s="39"/>
      <c r="C36" s="40"/>
      <c r="D36" s="40"/>
      <c r="E36" s="284">
        <f>F255</f>
        <v>0</v>
      </c>
      <c r="F36" s="286">
        <f t="shared" si="1"/>
        <v>0</v>
      </c>
      <c r="G36" s="4"/>
    </row>
    <row r="37" spans="1:7" s="3" customFormat="1" ht="15.75" hidden="1" customHeight="1" x14ac:dyDescent="0.2">
      <c r="A37" s="56" t="str">
        <f>A257</f>
        <v>3.2. Veículo utilitário</v>
      </c>
      <c r="B37" s="39"/>
      <c r="C37" s="40"/>
      <c r="D37" s="40"/>
      <c r="E37" s="284">
        <f>SUM(E38:E43)</f>
        <v>0</v>
      </c>
      <c r="F37" s="286">
        <f t="shared" ref="F37:F43" si="2">IFERROR(E37/$E$47,0)</f>
        <v>0</v>
      </c>
      <c r="G37" s="4"/>
    </row>
    <row r="38" spans="1:7" s="3" customFormat="1" ht="15.75" hidden="1" customHeight="1" x14ac:dyDescent="0.2">
      <c r="A38" s="56" t="str">
        <f>A259</f>
        <v>3.2.1. Depreciação</v>
      </c>
      <c r="B38" s="39"/>
      <c r="C38" s="40"/>
      <c r="D38" s="40"/>
      <c r="E38" s="284">
        <f>F268</f>
        <v>0</v>
      </c>
      <c r="F38" s="286">
        <f t="shared" si="2"/>
        <v>0</v>
      </c>
      <c r="G38" s="4"/>
    </row>
    <row r="39" spans="1:7" s="3" customFormat="1" ht="15.75" hidden="1" customHeight="1" x14ac:dyDescent="0.2">
      <c r="A39" s="56" t="str">
        <f>A270</f>
        <v>3.2.2. Remuneração do Capital</v>
      </c>
      <c r="B39" s="39"/>
      <c r="C39" s="40"/>
      <c r="D39" s="40"/>
      <c r="E39" s="284">
        <f>F279</f>
        <v>0</v>
      </c>
      <c r="F39" s="286">
        <f t="shared" si="2"/>
        <v>0</v>
      </c>
      <c r="G39" s="4"/>
    </row>
    <row r="40" spans="1:7" s="3" customFormat="1" ht="15.75" hidden="1" customHeight="1" x14ac:dyDescent="0.2">
      <c r="A40" s="56" t="str">
        <f>A281</f>
        <v>3.2.3. Impostos e Seguros</v>
      </c>
      <c r="B40" s="39"/>
      <c r="C40" s="40"/>
      <c r="D40" s="40"/>
      <c r="E40" s="284">
        <f>F286</f>
        <v>0</v>
      </c>
      <c r="F40" s="286">
        <f t="shared" si="2"/>
        <v>0</v>
      </c>
      <c r="G40" s="4"/>
    </row>
    <row r="41" spans="1:7" s="3" customFormat="1" ht="15.75" hidden="1" customHeight="1" x14ac:dyDescent="0.2">
      <c r="A41" s="56" t="str">
        <f>A288</f>
        <v>3.2.4. Consumos combustível</v>
      </c>
      <c r="B41" s="39"/>
      <c r="C41" s="40"/>
      <c r="D41" s="40"/>
      <c r="E41" s="284">
        <f>F296</f>
        <v>0</v>
      </c>
      <c r="F41" s="286">
        <f t="shared" si="2"/>
        <v>0</v>
      </c>
      <c r="G41" s="4"/>
    </row>
    <row r="42" spans="1:7" s="3" customFormat="1" ht="15.75" hidden="1" customHeight="1" x14ac:dyDescent="0.2">
      <c r="A42" s="56" t="str">
        <f>A298</f>
        <v xml:space="preserve">3.2.5. Manutenção e higienização </v>
      </c>
      <c r="B42" s="39"/>
      <c r="C42" s="40"/>
      <c r="D42" s="40"/>
      <c r="E42" s="284">
        <f>F301</f>
        <v>0</v>
      </c>
      <c r="F42" s="286">
        <f t="shared" si="2"/>
        <v>0</v>
      </c>
      <c r="G42" s="4"/>
    </row>
    <row r="43" spans="1:7" s="3" customFormat="1" ht="15.75" hidden="1" customHeight="1" x14ac:dyDescent="0.2">
      <c r="A43" s="56" t="str">
        <f>A303</f>
        <v>3.2.6. Pneus</v>
      </c>
      <c r="B43" s="39"/>
      <c r="C43" s="40"/>
      <c r="D43" s="40"/>
      <c r="E43" s="284">
        <f>F308</f>
        <v>0</v>
      </c>
      <c r="F43" s="286">
        <f t="shared" si="2"/>
        <v>0</v>
      </c>
      <c r="G43" s="4"/>
    </row>
    <row r="44" spans="1:7" s="9" customFormat="1" ht="15.75" customHeight="1" x14ac:dyDescent="0.2">
      <c r="A44" s="112" t="str">
        <f>A313</f>
        <v>4. Ferramentas e Materiais de Consumo</v>
      </c>
      <c r="B44" s="113"/>
      <c r="C44" s="109"/>
      <c r="D44" s="109"/>
      <c r="E44" s="282">
        <f>+F327</f>
        <v>0</v>
      </c>
      <c r="F44" s="283">
        <f>IFERROR(E44/$E$47,0)</f>
        <v>0</v>
      </c>
      <c r="G44" s="37"/>
    </row>
    <row r="45" spans="1:7" s="9" customFormat="1" ht="15.75" customHeight="1" x14ac:dyDescent="0.2">
      <c r="A45" s="112" t="str">
        <f>A329</f>
        <v>5. Monitoramento da Frota</v>
      </c>
      <c r="B45" s="113"/>
      <c r="C45" s="109"/>
      <c r="D45" s="109"/>
      <c r="E45" s="282">
        <f>+F338</f>
        <v>0</v>
      </c>
      <c r="F45" s="283">
        <f>IFERROR(E45/$E$47,0)</f>
        <v>0</v>
      </c>
      <c r="G45" s="37"/>
    </row>
    <row r="46" spans="1:7" s="9" customFormat="1" ht="15.75" customHeight="1" thickBot="1" x14ac:dyDescent="0.25">
      <c r="A46" s="112" t="str">
        <f>A342</f>
        <v>6. Benefícios e Despesas Indiretas - BDI</v>
      </c>
      <c r="B46" s="113"/>
      <c r="C46" s="109"/>
      <c r="D46" s="109"/>
      <c r="E46" s="287">
        <f>+F348</f>
        <v>0</v>
      </c>
      <c r="F46" s="283">
        <f>IFERROR(E46/$E$47,0)</f>
        <v>0</v>
      </c>
      <c r="G46" s="37"/>
    </row>
    <row r="47" spans="1:7" s="3" customFormat="1" ht="15.75" customHeight="1" thickBot="1" x14ac:dyDescent="0.25">
      <c r="A47" s="35" t="s">
        <v>218</v>
      </c>
      <c r="B47" s="36"/>
      <c r="C47" s="22"/>
      <c r="D47" s="22"/>
      <c r="E47" s="288">
        <f>E18+E27+E28+E44+E45+E46</f>
        <v>0</v>
      </c>
      <c r="F47" s="289">
        <f>F18+F27+F28+F44+F45+F46</f>
        <v>0</v>
      </c>
      <c r="G47" s="4"/>
    </row>
    <row r="49" spans="1:7" ht="13.5" thickBot="1" x14ac:dyDescent="0.25"/>
    <row r="50" spans="1:7" s="3" customFormat="1" ht="15" customHeight="1" thickBot="1" x14ac:dyDescent="0.25">
      <c r="A50" s="353" t="s">
        <v>88</v>
      </c>
      <c r="B50" s="354"/>
      <c r="C50" s="354"/>
      <c r="D50" s="354"/>
      <c r="E50" s="355"/>
      <c r="F50" s="18"/>
      <c r="G50" s="4"/>
    </row>
    <row r="51" spans="1:7" s="3" customFormat="1" ht="15" customHeight="1" thickBot="1" x14ac:dyDescent="0.25">
      <c r="A51" s="350" t="s">
        <v>32</v>
      </c>
      <c r="B51" s="351"/>
      <c r="C51" s="351"/>
      <c r="D51" s="352"/>
      <c r="E51" s="290" t="s">
        <v>33</v>
      </c>
      <c r="F51" s="18"/>
      <c r="G51" s="4"/>
    </row>
    <row r="52" spans="1:7" s="3" customFormat="1" ht="15" customHeight="1" x14ac:dyDescent="0.2">
      <c r="A52" s="62" t="str">
        <f>+A67</f>
        <v xml:space="preserve">1.1. Coletor </v>
      </c>
      <c r="B52" s="63"/>
      <c r="C52" s="63"/>
      <c r="D52" s="64"/>
      <c r="E52" s="65">
        <v>4</v>
      </c>
      <c r="F52" s="18"/>
      <c r="G52" s="4"/>
    </row>
    <row r="53" spans="1:7" s="3" customFormat="1" ht="15" customHeight="1" x14ac:dyDescent="0.2">
      <c r="A53" s="58" t="str">
        <f>+A87</f>
        <v>1.2. Motorista coleta</v>
      </c>
      <c r="B53" s="57"/>
      <c r="C53" s="57"/>
      <c r="D53" s="66"/>
      <c r="E53" s="61">
        <v>2</v>
      </c>
      <c r="F53" s="18"/>
      <c r="G53" s="4"/>
    </row>
    <row r="54" spans="1:7" s="3" customFormat="1" ht="15" customHeight="1" x14ac:dyDescent="0.2">
      <c r="A54" s="58" t="str">
        <f>+A99</f>
        <v>1.3. Motorista transporte</v>
      </c>
      <c r="B54" s="57"/>
      <c r="C54" s="57"/>
      <c r="D54" s="66"/>
      <c r="E54" s="61">
        <v>1</v>
      </c>
      <c r="F54" s="18"/>
      <c r="G54" s="4"/>
    </row>
    <row r="55" spans="1:7" s="3" customFormat="1" ht="15" hidden="1" customHeight="1" x14ac:dyDescent="0.2">
      <c r="A55" s="325" t="str">
        <f>A111</f>
        <v>1.5. Motorista veículos leves</v>
      </c>
      <c r="B55" s="57"/>
      <c r="C55" s="57"/>
      <c r="D55" s="66"/>
      <c r="E55" s="326">
        <v>0</v>
      </c>
      <c r="F55" s="18"/>
      <c r="G55" s="4"/>
    </row>
    <row r="56" spans="1:7" s="3" customFormat="1" ht="15" customHeight="1" x14ac:dyDescent="0.2">
      <c r="A56" s="321" t="s">
        <v>49</v>
      </c>
      <c r="B56" s="322"/>
      <c r="C56" s="322"/>
      <c r="D56" s="323"/>
      <c r="E56" s="324">
        <f>SUM(E52:E55)</f>
        <v>7</v>
      </c>
      <c r="F56" s="18"/>
      <c r="G56" s="4"/>
    </row>
    <row r="57" spans="1:7" s="3" customFormat="1" ht="15" customHeight="1" thickBot="1" x14ac:dyDescent="0.25">
      <c r="A57" s="110"/>
      <c r="B57" s="111"/>
      <c r="C57" s="50"/>
      <c r="D57" s="50"/>
      <c r="E57" s="291"/>
      <c r="F57" s="18"/>
      <c r="G57" s="4"/>
    </row>
    <row r="58" spans="1:7" s="3" customFormat="1" ht="15" customHeight="1" x14ac:dyDescent="0.2">
      <c r="A58" s="340" t="s">
        <v>46</v>
      </c>
      <c r="B58" s="341"/>
      <c r="C58" s="341"/>
      <c r="D58" s="341"/>
      <c r="E58" s="290" t="s">
        <v>33</v>
      </c>
      <c r="F58" s="17"/>
      <c r="G58" s="4"/>
    </row>
    <row r="59" spans="1:7" s="3" customFormat="1" ht="15" customHeight="1" x14ac:dyDescent="0.2">
      <c r="A59" s="327" t="str">
        <f>+A179</f>
        <v>3.1. Veículo Coletor Compactador 15 m³</v>
      </c>
      <c r="B59" s="320"/>
      <c r="C59" s="320"/>
      <c r="D59" s="328"/>
      <c r="E59" s="329">
        <f>C194</f>
        <v>2</v>
      </c>
      <c r="F59" s="17"/>
      <c r="G59" s="4"/>
    </row>
    <row r="60" spans="1:7" s="3" customFormat="1" ht="15" hidden="1" customHeight="1" x14ac:dyDescent="0.2">
      <c r="A60" s="325" t="str">
        <f>A257</f>
        <v>3.2. Veículo utilitário</v>
      </c>
      <c r="B60" s="57"/>
      <c r="C60" s="57"/>
      <c r="D60" s="225"/>
      <c r="E60" s="326">
        <v>0</v>
      </c>
      <c r="F60" s="17"/>
      <c r="G60" s="4"/>
    </row>
    <row r="61" spans="1:7" s="3" customFormat="1" ht="15" customHeight="1" x14ac:dyDescent="0.2">
      <c r="A61" s="50"/>
      <c r="B61" s="50"/>
      <c r="C61" s="50"/>
      <c r="D61" s="46"/>
      <c r="E61" s="224"/>
      <c r="F61" s="17"/>
      <c r="G61" s="4"/>
    </row>
    <row r="62" spans="1:7" s="3" customFormat="1" ht="13.5" thickBot="1" x14ac:dyDescent="0.25">
      <c r="A62" s="50"/>
      <c r="B62" s="50"/>
      <c r="C62" s="50"/>
      <c r="D62" s="46"/>
      <c r="E62" s="59"/>
      <c r="F62" s="17"/>
      <c r="G62" s="4"/>
    </row>
    <row r="63" spans="1:7" s="9" customFormat="1" ht="15.75" customHeight="1" thickBot="1" x14ac:dyDescent="0.25">
      <c r="A63" s="227" t="s">
        <v>182</v>
      </c>
      <c r="B63" s="228">
        <v>1</v>
      </c>
      <c r="C63" s="28"/>
      <c r="D63" s="27"/>
      <c r="E63" s="129"/>
      <c r="F63" s="101"/>
      <c r="G63" s="37"/>
    </row>
    <row r="64" spans="1:7" s="3" customFormat="1" ht="15.75" customHeight="1" x14ac:dyDescent="0.2">
      <c r="A64" s="50"/>
      <c r="B64" s="50"/>
      <c r="C64" s="50"/>
      <c r="D64" s="46"/>
      <c r="E64" s="59"/>
      <c r="F64" s="17"/>
      <c r="G64" s="4"/>
    </row>
    <row r="65" spans="1:7" ht="13.15" customHeight="1" x14ac:dyDescent="0.2">
      <c r="A65" s="9" t="s">
        <v>40</v>
      </c>
    </row>
    <row r="66" spans="1:7" ht="11.25" customHeight="1" x14ac:dyDescent="0.2"/>
    <row r="67" spans="1:7" ht="13.9" customHeight="1" thickBot="1" x14ac:dyDescent="0.25">
      <c r="A67" s="5" t="s">
        <v>267</v>
      </c>
    </row>
    <row r="68" spans="1:7" ht="13.9" customHeight="1" thickBot="1" x14ac:dyDescent="0.25">
      <c r="A68" s="51" t="s">
        <v>53</v>
      </c>
      <c r="B68" s="52" t="s">
        <v>54</v>
      </c>
      <c r="C68" s="52" t="s">
        <v>33</v>
      </c>
      <c r="D68" s="53" t="s">
        <v>214</v>
      </c>
      <c r="E68" s="53" t="s">
        <v>55</v>
      </c>
      <c r="F68" s="54" t="s">
        <v>56</v>
      </c>
    </row>
    <row r="69" spans="1:7" ht="13.15" customHeight="1" x14ac:dyDescent="0.2">
      <c r="A69" s="11" t="s">
        <v>194</v>
      </c>
      <c r="B69" s="12" t="s">
        <v>6</v>
      </c>
      <c r="C69" s="12">
        <v>1</v>
      </c>
      <c r="D69" s="74"/>
      <c r="E69" s="13">
        <f>C69*D69</f>
        <v>0</v>
      </c>
    </row>
    <row r="70" spans="1:7" x14ac:dyDescent="0.2">
      <c r="A70" s="14" t="s">
        <v>0</v>
      </c>
      <c r="B70" s="15" t="s">
        <v>1</v>
      </c>
      <c r="C70" s="73"/>
      <c r="D70" s="70">
        <v>1320</v>
      </c>
      <c r="E70" s="16">
        <f>C70*D70/100</f>
        <v>0</v>
      </c>
    </row>
    <row r="71" spans="1:7" x14ac:dyDescent="0.2">
      <c r="A71" s="100" t="s">
        <v>2</v>
      </c>
      <c r="B71" s="101"/>
      <c r="C71" s="101"/>
      <c r="D71" s="102"/>
      <c r="E71" s="103">
        <f>SUM(E69:E70)</f>
        <v>0</v>
      </c>
    </row>
    <row r="72" spans="1:7" x14ac:dyDescent="0.2">
      <c r="A72" s="14" t="s">
        <v>3</v>
      </c>
      <c r="B72" s="15" t="s">
        <v>1</v>
      </c>
      <c r="C72" s="117">
        <f>'2.Encargos Sociais'!$C$35*100</f>
        <v>70.679190000000006</v>
      </c>
      <c r="D72" s="16">
        <f>E71</f>
        <v>0</v>
      </c>
      <c r="E72" s="16">
        <f>D72*C72/100</f>
        <v>0</v>
      </c>
    </row>
    <row r="73" spans="1:7" x14ac:dyDescent="0.2">
      <c r="A73" s="100" t="s">
        <v>62</v>
      </c>
      <c r="B73" s="101"/>
      <c r="C73" s="101"/>
      <c r="D73" s="102"/>
      <c r="E73" s="103">
        <f>E71+E72</f>
        <v>0</v>
      </c>
    </row>
    <row r="74" spans="1:7" ht="13.5" thickBot="1" x14ac:dyDescent="0.25">
      <c r="A74" s="14" t="s">
        <v>4</v>
      </c>
      <c r="B74" s="15" t="s">
        <v>5</v>
      </c>
      <c r="C74" s="243">
        <v>4</v>
      </c>
      <c r="D74" s="16">
        <f>E73</f>
        <v>0</v>
      </c>
      <c r="E74" s="16">
        <f>C74*D74</f>
        <v>0</v>
      </c>
      <c r="G74" s="4"/>
    </row>
    <row r="75" spans="1:7" ht="13.9" customHeight="1" thickBot="1" x14ac:dyDescent="0.25">
      <c r="D75" s="105" t="s">
        <v>181</v>
      </c>
      <c r="E75" s="16">
        <v>1</v>
      </c>
      <c r="F75" s="106">
        <f>E74*E75</f>
        <v>0</v>
      </c>
      <c r="G75" s="4"/>
    </row>
    <row r="76" spans="1:7" ht="13.9" customHeight="1" x14ac:dyDescent="0.2">
      <c r="D76" s="105"/>
      <c r="E76" s="312"/>
      <c r="F76" s="26"/>
      <c r="G76" s="4"/>
    </row>
    <row r="77" spans="1:7" ht="13.9" hidden="1" customHeight="1" thickBot="1" x14ac:dyDescent="0.25">
      <c r="A77" s="5" t="s">
        <v>299</v>
      </c>
    </row>
    <row r="78" spans="1:7" ht="13.9" hidden="1" customHeight="1" thickBot="1" x14ac:dyDescent="0.25">
      <c r="A78" s="51" t="s">
        <v>53</v>
      </c>
      <c r="B78" s="52" t="s">
        <v>54</v>
      </c>
      <c r="C78" s="52" t="s">
        <v>33</v>
      </c>
      <c r="D78" s="53" t="s">
        <v>214</v>
      </c>
      <c r="E78" s="53" t="s">
        <v>55</v>
      </c>
      <c r="F78" s="54" t="s">
        <v>56</v>
      </c>
    </row>
    <row r="79" spans="1:7" ht="13.15" hidden="1" customHeight="1" x14ac:dyDescent="0.2">
      <c r="A79" s="11" t="s">
        <v>194</v>
      </c>
      <c r="B79" s="12" t="s">
        <v>6</v>
      </c>
      <c r="C79" s="12">
        <v>0</v>
      </c>
      <c r="D79" s="74"/>
      <c r="E79" s="13">
        <f>C79*D79</f>
        <v>0</v>
      </c>
    </row>
    <row r="80" spans="1:7" hidden="1" x14ac:dyDescent="0.2">
      <c r="A80" s="14" t="s">
        <v>0</v>
      </c>
      <c r="B80" s="15" t="s">
        <v>1</v>
      </c>
      <c r="C80" s="73"/>
      <c r="D80" s="70">
        <v>1320</v>
      </c>
      <c r="E80" s="16">
        <f>C80*D80/100</f>
        <v>0</v>
      </c>
    </row>
    <row r="81" spans="1:7" hidden="1" x14ac:dyDescent="0.2">
      <c r="A81" s="100" t="s">
        <v>2</v>
      </c>
      <c r="B81" s="101"/>
      <c r="C81" s="101"/>
      <c r="D81" s="102"/>
      <c r="E81" s="103">
        <f>SUM(E79:E80)</f>
        <v>0</v>
      </c>
    </row>
    <row r="82" spans="1:7" hidden="1" x14ac:dyDescent="0.2">
      <c r="A82" s="14" t="s">
        <v>3</v>
      </c>
      <c r="B82" s="15" t="s">
        <v>1</v>
      </c>
      <c r="C82" s="117">
        <f>'2.Encargos Sociais'!$C$35*100</f>
        <v>70.679190000000006</v>
      </c>
      <c r="D82" s="16">
        <f>E81</f>
        <v>0</v>
      </c>
      <c r="E82" s="16">
        <f>D82*C82/100</f>
        <v>0</v>
      </c>
    </row>
    <row r="83" spans="1:7" hidden="1" x14ac:dyDescent="0.2">
      <c r="A83" s="100" t="s">
        <v>62</v>
      </c>
      <c r="B83" s="101"/>
      <c r="C83" s="101"/>
      <c r="D83" s="102"/>
      <c r="E83" s="103">
        <f>E81+E82</f>
        <v>0</v>
      </c>
    </row>
    <row r="84" spans="1:7" ht="13.5" hidden="1" thickBot="1" x14ac:dyDescent="0.25">
      <c r="A84" s="14" t="s">
        <v>4</v>
      </c>
      <c r="B84" s="15" t="s">
        <v>5</v>
      </c>
      <c r="C84" s="243">
        <v>3</v>
      </c>
      <c r="D84" s="16">
        <f>E83</f>
        <v>0</v>
      </c>
      <c r="E84" s="16">
        <f>C84*D84</f>
        <v>0</v>
      </c>
      <c r="G84" s="4"/>
    </row>
    <row r="85" spans="1:7" ht="13.9" hidden="1" customHeight="1" thickBot="1" x14ac:dyDescent="0.25">
      <c r="D85" s="105" t="s">
        <v>181</v>
      </c>
      <c r="E85" s="16">
        <v>1</v>
      </c>
      <c r="F85" s="106">
        <f>E84*E85</f>
        <v>0</v>
      </c>
      <c r="G85" s="4"/>
    </row>
    <row r="86" spans="1:7" ht="11.25" customHeight="1" x14ac:dyDescent="0.2"/>
    <row r="87" spans="1:7" ht="13.5" thickBot="1" x14ac:dyDescent="0.25">
      <c r="A87" s="5" t="s">
        <v>319</v>
      </c>
    </row>
    <row r="88" spans="1:7" s="10" customFormat="1" ht="13.15" customHeight="1" thickBot="1" x14ac:dyDescent="0.25">
      <c r="A88" s="51" t="s">
        <v>53</v>
      </c>
      <c r="B88" s="52" t="s">
        <v>54</v>
      </c>
      <c r="C88" s="52" t="s">
        <v>33</v>
      </c>
      <c r="D88" s="53" t="s">
        <v>214</v>
      </c>
      <c r="E88" s="53" t="s">
        <v>55</v>
      </c>
      <c r="F88" s="54" t="s">
        <v>56</v>
      </c>
      <c r="G88" s="8"/>
    </row>
    <row r="89" spans="1:7" x14ac:dyDescent="0.2">
      <c r="A89" s="270" t="s">
        <v>259</v>
      </c>
      <c r="B89" s="12" t="s">
        <v>6</v>
      </c>
      <c r="C89" s="12">
        <v>1</v>
      </c>
      <c r="D89" s="74"/>
      <c r="E89" s="13">
        <f>C89*D89</f>
        <v>0</v>
      </c>
    </row>
    <row r="90" spans="1:7" x14ac:dyDescent="0.2">
      <c r="A90" s="270" t="s">
        <v>260</v>
      </c>
      <c r="B90" s="12" t="s">
        <v>6</v>
      </c>
      <c r="C90" s="12">
        <v>1</v>
      </c>
      <c r="D90" s="74"/>
      <c r="E90" s="13"/>
    </row>
    <row r="91" spans="1:7" x14ac:dyDescent="0.2">
      <c r="A91" s="14" t="s">
        <v>195</v>
      </c>
      <c r="B91" s="15"/>
      <c r="C91" s="76"/>
      <c r="D91" s="16"/>
      <c r="E91" s="16"/>
    </row>
    <row r="92" spans="1:7" x14ac:dyDescent="0.2">
      <c r="A92" s="14" t="s">
        <v>0</v>
      </c>
      <c r="B92" s="15" t="s">
        <v>1</v>
      </c>
      <c r="C92" s="73"/>
      <c r="D92" s="70">
        <f>IF(C91=2,SUM(E89:E90),IF(C91=1,(SUM(E89:E90))*D90/D89,0))</f>
        <v>0</v>
      </c>
      <c r="E92" s="16">
        <f>C92*D92/100</f>
        <v>0</v>
      </c>
    </row>
    <row r="93" spans="1:7" s="9" customFormat="1" x14ac:dyDescent="0.2">
      <c r="A93" s="89" t="s">
        <v>2</v>
      </c>
      <c r="B93" s="101"/>
      <c r="C93" s="101"/>
      <c r="D93" s="102"/>
      <c r="E93" s="91">
        <f>SUM(E89:E92)</f>
        <v>0</v>
      </c>
      <c r="F93" s="102"/>
      <c r="G93" s="37"/>
    </row>
    <row r="94" spans="1:7" x14ac:dyDescent="0.2">
      <c r="A94" s="14" t="s">
        <v>3</v>
      </c>
      <c r="B94" s="15" t="s">
        <v>1</v>
      </c>
      <c r="C94" s="117">
        <f>'2.Encargos Sociais'!$C$35*100</f>
        <v>70.679190000000006</v>
      </c>
      <c r="D94" s="16">
        <f>E93</f>
        <v>0</v>
      </c>
      <c r="E94" s="16">
        <f>D94*C94/100</f>
        <v>0</v>
      </c>
    </row>
    <row r="95" spans="1:7" s="9" customFormat="1" x14ac:dyDescent="0.2">
      <c r="A95" s="89" t="s">
        <v>228</v>
      </c>
      <c r="B95" s="234"/>
      <c r="C95" s="234"/>
      <c r="D95" s="235"/>
      <c r="E95" s="91">
        <f>E93+E94</f>
        <v>0</v>
      </c>
      <c r="F95" s="102"/>
      <c r="G95" s="37"/>
    </row>
    <row r="96" spans="1:7" ht="13.5" thickBot="1" x14ac:dyDescent="0.25">
      <c r="A96" s="14" t="s">
        <v>4</v>
      </c>
      <c r="B96" s="15" t="s">
        <v>5</v>
      </c>
      <c r="C96" s="243">
        <v>2</v>
      </c>
      <c r="D96" s="16">
        <f>E95</f>
        <v>0</v>
      </c>
      <c r="E96" s="16">
        <f>C96*D96</f>
        <v>0</v>
      </c>
    </row>
    <row r="97" spans="1:7" ht="13.5" thickBot="1" x14ac:dyDescent="0.25">
      <c r="D97" s="105" t="s">
        <v>181</v>
      </c>
      <c r="E97" s="16">
        <f>$B$63</f>
        <v>1</v>
      </c>
      <c r="F97" s="106">
        <f>E96*E97</f>
        <v>0</v>
      </c>
    </row>
    <row r="98" spans="1:7" ht="11.25" customHeight="1" x14ac:dyDescent="0.2"/>
    <row r="99" spans="1:7" s="308" customFormat="1" ht="13.5" thickBot="1" x14ac:dyDescent="0.25">
      <c r="A99" s="305" t="s">
        <v>320</v>
      </c>
      <c r="B99" s="44"/>
      <c r="C99" s="44"/>
      <c r="D99" s="98"/>
      <c r="E99" s="306"/>
      <c r="F99" s="306"/>
      <c r="G99" s="309"/>
    </row>
    <row r="100" spans="1:7" ht="13.5" thickBot="1" x14ac:dyDescent="0.25">
      <c r="A100" s="51" t="s">
        <v>53</v>
      </c>
      <c r="B100" s="52" t="s">
        <v>54</v>
      </c>
      <c r="C100" s="52" t="s">
        <v>33</v>
      </c>
      <c r="D100" s="53" t="s">
        <v>214</v>
      </c>
      <c r="E100" s="53" t="s">
        <v>55</v>
      </c>
      <c r="F100" s="54" t="s">
        <v>56</v>
      </c>
    </row>
    <row r="101" spans="1:7" x14ac:dyDescent="0.2">
      <c r="A101" s="270" t="s">
        <v>259</v>
      </c>
      <c r="B101" s="12" t="s">
        <v>6</v>
      </c>
      <c r="C101" s="12">
        <v>1</v>
      </c>
      <c r="D101" s="13">
        <f>D89</f>
        <v>0</v>
      </c>
      <c r="E101" s="13">
        <f>(C101*D101)</f>
        <v>0</v>
      </c>
    </row>
    <row r="102" spans="1:7" x14ac:dyDescent="0.2">
      <c r="A102" s="270" t="s">
        <v>260</v>
      </c>
      <c r="B102" s="12" t="s">
        <v>6</v>
      </c>
      <c r="C102" s="12">
        <v>1</v>
      </c>
      <c r="D102" s="16">
        <f>D90</f>
        <v>0</v>
      </c>
      <c r="E102" s="16"/>
    </row>
    <row r="103" spans="1:7" x14ac:dyDescent="0.2">
      <c r="A103" s="14" t="s">
        <v>195</v>
      </c>
      <c r="B103" s="15"/>
      <c r="C103" s="76"/>
      <c r="D103" s="16"/>
      <c r="E103" s="16"/>
    </row>
    <row r="104" spans="1:7" x14ac:dyDescent="0.2">
      <c r="A104" s="14" t="s">
        <v>0</v>
      </c>
      <c r="B104" s="15" t="s">
        <v>1</v>
      </c>
      <c r="C104" s="70">
        <f>+C92</f>
        <v>0</v>
      </c>
      <c r="D104" s="70">
        <f>IF(C103=2,SUM(E101:E102),IF(C103=1,SUM(E101:E102)*D102/D101,0))</f>
        <v>0</v>
      </c>
      <c r="E104" s="16">
        <f>C104*D104/100</f>
        <v>0</v>
      </c>
    </row>
    <row r="105" spans="1:7" s="9" customFormat="1" x14ac:dyDescent="0.2">
      <c r="A105" s="100" t="s">
        <v>2</v>
      </c>
      <c r="B105" s="101"/>
      <c r="C105" s="101"/>
      <c r="D105" s="102"/>
      <c r="E105" s="103">
        <f>SUM(E101:E104)</f>
        <v>0</v>
      </c>
      <c r="F105" s="102"/>
      <c r="G105" s="37"/>
    </row>
    <row r="106" spans="1:7" x14ac:dyDescent="0.2">
      <c r="A106" s="14" t="s">
        <v>3</v>
      </c>
      <c r="B106" s="15" t="s">
        <v>1</v>
      </c>
      <c r="C106" s="117">
        <f>'2.Encargos Sociais'!$C$35*100</f>
        <v>70.679190000000006</v>
      </c>
      <c r="D106" s="16">
        <f>E105</f>
        <v>0</v>
      </c>
      <c r="E106" s="16">
        <f>D106*C106/100</f>
        <v>0</v>
      </c>
    </row>
    <row r="107" spans="1:7" s="9" customFormat="1" x14ac:dyDescent="0.2">
      <c r="A107" s="100" t="s">
        <v>228</v>
      </c>
      <c r="B107" s="101"/>
      <c r="C107" s="101"/>
      <c r="D107" s="102"/>
      <c r="E107" s="103">
        <f>E105+E106</f>
        <v>0</v>
      </c>
      <c r="F107" s="102"/>
      <c r="G107" s="37"/>
    </row>
    <row r="108" spans="1:7" ht="13.5" thickBot="1" x14ac:dyDescent="0.25">
      <c r="A108" s="14" t="s">
        <v>4</v>
      </c>
      <c r="B108" s="15" t="s">
        <v>5</v>
      </c>
      <c r="C108" s="243">
        <v>1</v>
      </c>
      <c r="D108" s="16">
        <f>E107</f>
        <v>0</v>
      </c>
      <c r="E108" s="16">
        <f>C108*D108</f>
        <v>0</v>
      </c>
    </row>
    <row r="109" spans="1:7" ht="13.5" thickBot="1" x14ac:dyDescent="0.25">
      <c r="D109" s="105" t="s">
        <v>181</v>
      </c>
      <c r="E109" s="16">
        <v>0.75</v>
      </c>
      <c r="F109" s="106">
        <f>E108*E109</f>
        <v>0</v>
      </c>
    </row>
    <row r="110" spans="1:7" x14ac:dyDescent="0.2">
      <c r="D110" s="105"/>
      <c r="E110" s="312"/>
      <c r="F110" s="26"/>
    </row>
    <row r="111" spans="1:7" s="308" customFormat="1" ht="13.5" hidden="1" thickBot="1" x14ac:dyDescent="0.25">
      <c r="A111" s="305" t="s">
        <v>300</v>
      </c>
      <c r="B111" s="44"/>
      <c r="C111" s="44"/>
      <c r="D111" s="98"/>
      <c r="E111" s="306"/>
      <c r="F111" s="306"/>
      <c r="G111" s="309"/>
    </row>
    <row r="112" spans="1:7" ht="13.5" hidden="1" thickBot="1" x14ac:dyDescent="0.25">
      <c r="A112" s="51" t="s">
        <v>53</v>
      </c>
      <c r="B112" s="52" t="s">
        <v>54</v>
      </c>
      <c r="C112" s="52" t="s">
        <v>33</v>
      </c>
      <c r="D112" s="53" t="s">
        <v>214</v>
      </c>
      <c r="E112" s="53" t="s">
        <v>55</v>
      </c>
      <c r="F112" s="54" t="s">
        <v>56</v>
      </c>
    </row>
    <row r="113" spans="1:7" hidden="1" x14ac:dyDescent="0.2">
      <c r="A113" s="270" t="s">
        <v>259</v>
      </c>
      <c r="B113" s="12" t="s">
        <v>6</v>
      </c>
      <c r="C113" s="12">
        <v>1</v>
      </c>
      <c r="D113" s="13">
        <f>D101</f>
        <v>0</v>
      </c>
      <c r="E113" s="13">
        <f>(C113*D113)</f>
        <v>0</v>
      </c>
    </row>
    <row r="114" spans="1:7" hidden="1" x14ac:dyDescent="0.2">
      <c r="A114" s="270" t="s">
        <v>260</v>
      </c>
      <c r="B114" s="12" t="s">
        <v>6</v>
      </c>
      <c r="C114" s="12">
        <v>1</v>
      </c>
      <c r="D114" s="16">
        <f>D102</f>
        <v>0</v>
      </c>
      <c r="E114" s="16"/>
    </row>
    <row r="115" spans="1:7" hidden="1" x14ac:dyDescent="0.2">
      <c r="A115" s="14" t="s">
        <v>195</v>
      </c>
      <c r="B115" s="15"/>
      <c r="C115" s="76"/>
      <c r="D115" s="16"/>
      <c r="E115" s="16"/>
    </row>
    <row r="116" spans="1:7" hidden="1" x14ac:dyDescent="0.2">
      <c r="A116" s="14" t="s">
        <v>0</v>
      </c>
      <c r="B116" s="15" t="s">
        <v>1</v>
      </c>
      <c r="C116" s="70"/>
      <c r="D116" s="70">
        <f>IF(C115=2,SUM(E113:E114),IF(C115=1,SUM(E113:E114)*D114/D113,0))</f>
        <v>0</v>
      </c>
      <c r="E116" s="16">
        <f>C116*D116/100</f>
        <v>0</v>
      </c>
    </row>
    <row r="117" spans="1:7" s="9" customFormat="1" hidden="1" x14ac:dyDescent="0.2">
      <c r="A117" s="100" t="s">
        <v>2</v>
      </c>
      <c r="B117" s="101"/>
      <c r="C117" s="101"/>
      <c r="D117" s="102"/>
      <c r="E117" s="103">
        <f>SUM(E113:E116)</f>
        <v>0</v>
      </c>
      <c r="F117" s="102"/>
      <c r="G117" s="37"/>
    </row>
    <row r="118" spans="1:7" hidden="1" x14ac:dyDescent="0.2">
      <c r="A118" s="14" t="s">
        <v>3</v>
      </c>
      <c r="B118" s="15" t="s">
        <v>1</v>
      </c>
      <c r="C118" s="117">
        <f>'2.Encargos Sociais'!$C$35*100</f>
        <v>70.679190000000006</v>
      </c>
      <c r="D118" s="16">
        <f>E117</f>
        <v>0</v>
      </c>
      <c r="E118" s="16">
        <f>D118*C118/100</f>
        <v>0</v>
      </c>
    </row>
    <row r="119" spans="1:7" s="9" customFormat="1" hidden="1" x14ac:dyDescent="0.2">
      <c r="A119" s="100" t="s">
        <v>228</v>
      </c>
      <c r="B119" s="101"/>
      <c r="C119" s="101"/>
      <c r="D119" s="102"/>
      <c r="E119" s="103">
        <f>E117+E118</f>
        <v>0</v>
      </c>
      <c r="F119" s="102"/>
      <c r="G119" s="37"/>
    </row>
    <row r="120" spans="1:7" ht="13.5" hidden="1" thickBot="1" x14ac:dyDescent="0.25">
      <c r="A120" s="14" t="s">
        <v>4</v>
      </c>
      <c r="B120" s="15" t="s">
        <v>5</v>
      </c>
      <c r="C120" s="243">
        <v>1</v>
      </c>
      <c r="D120" s="16">
        <f>E119</f>
        <v>0</v>
      </c>
      <c r="E120" s="16">
        <f>C120*D120</f>
        <v>0</v>
      </c>
    </row>
    <row r="121" spans="1:7" ht="13.5" hidden="1" thickBot="1" x14ac:dyDescent="0.25">
      <c r="D121" s="105" t="s">
        <v>181</v>
      </c>
      <c r="E121" s="16">
        <v>1</v>
      </c>
      <c r="F121" s="106">
        <f>E120*E121</f>
        <v>0</v>
      </c>
    </row>
    <row r="122" spans="1:7" ht="11.25" customHeight="1" x14ac:dyDescent="0.2">
      <c r="G122" s="7"/>
    </row>
    <row r="123" spans="1:7" ht="13.5" thickBot="1" x14ac:dyDescent="0.25">
      <c r="A123" s="5" t="s">
        <v>321</v>
      </c>
      <c r="B123" s="79"/>
      <c r="D123" s="7"/>
      <c r="E123" s="17"/>
      <c r="G123" s="7"/>
    </row>
    <row r="124" spans="1:7" ht="13.5" thickBot="1" x14ac:dyDescent="0.25">
      <c r="A124" s="51" t="s">
        <v>53</v>
      </c>
      <c r="B124" s="52" t="s">
        <v>54</v>
      </c>
      <c r="C124" s="52" t="s">
        <v>33</v>
      </c>
      <c r="D124" s="53" t="s">
        <v>214</v>
      </c>
      <c r="E124" s="53" t="s">
        <v>55</v>
      </c>
      <c r="F124" s="54" t="s">
        <v>56</v>
      </c>
      <c r="G124" s="7"/>
    </row>
    <row r="125" spans="1:7" x14ac:dyDescent="0.2">
      <c r="A125" s="14" t="s">
        <v>81</v>
      </c>
      <c r="B125" s="15" t="s">
        <v>28</v>
      </c>
      <c r="C125" s="80">
        <v>1</v>
      </c>
      <c r="D125" s="78"/>
      <c r="E125" s="16"/>
      <c r="G125" s="7"/>
    </row>
    <row r="126" spans="1:7" x14ac:dyDescent="0.2">
      <c r="A126" s="14" t="s">
        <v>82</v>
      </c>
      <c r="B126" s="15" t="s">
        <v>83</v>
      </c>
      <c r="C126" s="77"/>
      <c r="D126" s="16"/>
      <c r="E126" s="16"/>
      <c r="G126" s="7"/>
    </row>
    <row r="127" spans="1:7" x14ac:dyDescent="0.2">
      <c r="A127" s="14" t="s">
        <v>63</v>
      </c>
      <c r="B127" s="15" t="s">
        <v>7</v>
      </c>
      <c r="C127" s="30">
        <f>$C$126*2*(C74+C84)</f>
        <v>0</v>
      </c>
      <c r="D127" s="13" t="str">
        <f>IFERROR((($C$126*2*$D$125)-(E69*0.06*C126/26))/($C$126*2),"-")</f>
        <v>-</v>
      </c>
      <c r="E127" s="16" t="str">
        <f>IFERROR(C127*D127,"-")</f>
        <v>-</v>
      </c>
      <c r="G127" s="7"/>
    </row>
    <row r="128" spans="1:7" ht="13.5" thickBot="1" x14ac:dyDescent="0.25">
      <c r="A128" s="11" t="s">
        <v>37</v>
      </c>
      <c r="B128" s="12" t="s">
        <v>7</v>
      </c>
      <c r="C128" s="30">
        <f>$C$126*2*(C96+C108+C120)</f>
        <v>0</v>
      </c>
      <c r="D128" s="13" t="str">
        <f>IFERROR((($C$126*2*$D$125)-(E89*0.06*C126/26))/($C$126*2),"-")</f>
        <v>-</v>
      </c>
      <c r="E128" s="13" t="str">
        <f>IFERROR(C128*D128,"-")</f>
        <v>-</v>
      </c>
      <c r="G128" s="7"/>
    </row>
    <row r="129" spans="1:7" ht="13.5" thickBot="1" x14ac:dyDescent="0.25">
      <c r="F129" s="19">
        <f>SUM(E127:E128)</f>
        <v>0</v>
      </c>
      <c r="G129" s="7"/>
    </row>
    <row r="130" spans="1:7" ht="11.25" customHeight="1" x14ac:dyDescent="0.2">
      <c r="G130" s="7"/>
    </row>
    <row r="131" spans="1:7" ht="13.5" thickBot="1" x14ac:dyDescent="0.25">
      <c r="A131" s="5" t="s">
        <v>322</v>
      </c>
      <c r="F131" s="26"/>
      <c r="G131" s="7"/>
    </row>
    <row r="132" spans="1:7" ht="13.5" thickBot="1" x14ac:dyDescent="0.25">
      <c r="A132" s="51" t="s">
        <v>53</v>
      </c>
      <c r="B132" s="52" t="s">
        <v>54</v>
      </c>
      <c r="C132" s="52" t="s">
        <v>33</v>
      </c>
      <c r="D132" s="53" t="s">
        <v>214</v>
      </c>
      <c r="E132" s="53" t="s">
        <v>55</v>
      </c>
      <c r="F132" s="54" t="s">
        <v>56</v>
      </c>
      <c r="G132" s="7"/>
    </row>
    <row r="133" spans="1:7" x14ac:dyDescent="0.2">
      <c r="A133" s="14" t="str">
        <f>+A127</f>
        <v>Coletor</v>
      </c>
      <c r="B133" s="15" t="s">
        <v>8</v>
      </c>
      <c r="C133" s="88">
        <v>4</v>
      </c>
      <c r="D133" s="81"/>
      <c r="E133" s="16">
        <f>C133*D133</f>
        <v>0</v>
      </c>
      <c r="F133" s="26"/>
      <c r="G133" s="7"/>
    </row>
    <row r="134" spans="1:7" ht="13.5" thickBot="1" x14ac:dyDescent="0.25">
      <c r="A134" s="14" t="str">
        <f>+A128</f>
        <v>Motorista</v>
      </c>
      <c r="B134" s="15" t="s">
        <v>8</v>
      </c>
      <c r="C134" s="88">
        <v>3</v>
      </c>
      <c r="D134" s="81"/>
      <c r="E134" s="16">
        <f>C134*D134</f>
        <v>0</v>
      </c>
      <c r="F134" s="26"/>
      <c r="G134" s="7"/>
    </row>
    <row r="135" spans="1:7" ht="13.5" thickBot="1" x14ac:dyDescent="0.25">
      <c r="F135" s="19">
        <f>SUM(E133:E134)</f>
        <v>0</v>
      </c>
      <c r="G135" s="7"/>
    </row>
    <row r="136" spans="1:7" x14ac:dyDescent="0.2">
      <c r="G136" s="7"/>
    </row>
    <row r="137" spans="1:7" ht="13.5" thickBot="1" x14ac:dyDescent="0.25">
      <c r="A137" s="5" t="s">
        <v>323</v>
      </c>
      <c r="F137" s="26"/>
      <c r="G137" s="7"/>
    </row>
    <row r="138" spans="1:7" ht="13.5" thickBot="1" x14ac:dyDescent="0.25">
      <c r="A138" s="51" t="s">
        <v>53</v>
      </c>
      <c r="B138" s="52" t="s">
        <v>54</v>
      </c>
      <c r="C138" s="52" t="s">
        <v>33</v>
      </c>
      <c r="D138" s="53" t="s">
        <v>214</v>
      </c>
      <c r="E138" s="53" t="s">
        <v>55</v>
      </c>
      <c r="F138" s="54" t="s">
        <v>56</v>
      </c>
      <c r="G138" s="7"/>
    </row>
    <row r="139" spans="1:7" x14ac:dyDescent="0.2">
      <c r="A139" s="14" t="str">
        <f>+A133</f>
        <v>Coletor</v>
      </c>
      <c r="B139" s="15" t="s">
        <v>8</v>
      </c>
      <c r="C139" s="88">
        <v>4</v>
      </c>
      <c r="D139" s="81"/>
      <c r="E139" s="16">
        <f>C139*D139</f>
        <v>0</v>
      </c>
      <c r="F139" s="26"/>
      <c r="G139" s="7"/>
    </row>
    <row r="140" spans="1:7" ht="13.5" thickBot="1" x14ac:dyDescent="0.25">
      <c r="A140" s="14" t="str">
        <f>+A134</f>
        <v>Motorista</v>
      </c>
      <c r="B140" s="15" t="s">
        <v>8</v>
      </c>
      <c r="C140" s="88">
        <v>3</v>
      </c>
      <c r="D140" s="81"/>
      <c r="E140" s="16">
        <f>C140*D140</f>
        <v>0</v>
      </c>
      <c r="F140" s="26"/>
      <c r="G140" s="7"/>
    </row>
    <row r="141" spans="1:7" ht="13.5" thickBot="1" x14ac:dyDescent="0.25">
      <c r="D141" s="105" t="s">
        <v>181</v>
      </c>
      <c r="E141" s="16">
        <f>$B$63</f>
        <v>1</v>
      </c>
      <c r="F141" s="19">
        <f>SUM(E139:E140)*E141</f>
        <v>0</v>
      </c>
      <c r="G141" s="7"/>
    </row>
    <row r="142" spans="1:7" ht="13.5" thickBot="1" x14ac:dyDescent="0.25">
      <c r="G142" s="7"/>
    </row>
    <row r="143" spans="1:7" ht="13.5" thickBot="1" x14ac:dyDescent="0.25">
      <c r="A143" s="20" t="s">
        <v>84</v>
      </c>
      <c r="B143" s="21"/>
      <c r="C143" s="21"/>
      <c r="D143" s="22"/>
      <c r="E143" s="292"/>
      <c r="F143" s="19">
        <f>F141+F135+F129+F109+F97+F75+F85+F121</f>
        <v>0</v>
      </c>
      <c r="G143" s="7"/>
    </row>
    <row r="145" spans="1:7" x14ac:dyDescent="0.2">
      <c r="A145" s="9" t="s">
        <v>38</v>
      </c>
      <c r="G145" s="7"/>
    </row>
    <row r="146" spans="1:7" ht="11.25" customHeight="1" x14ac:dyDescent="0.2">
      <c r="G146" s="7"/>
    </row>
    <row r="147" spans="1:7" ht="13.9" customHeight="1" x14ac:dyDescent="0.2">
      <c r="A147" s="7" t="s">
        <v>183</v>
      </c>
      <c r="G147" s="7"/>
    </row>
    <row r="148" spans="1:7" ht="11.25" customHeight="1" thickBot="1" x14ac:dyDescent="0.25">
      <c r="G148" s="7"/>
    </row>
    <row r="149" spans="1:7" ht="27.75" customHeight="1" thickBot="1" x14ac:dyDescent="0.25">
      <c r="A149" s="51" t="s">
        <v>53</v>
      </c>
      <c r="B149" s="52" t="s">
        <v>54</v>
      </c>
      <c r="C149" s="236" t="s">
        <v>229</v>
      </c>
      <c r="D149" s="53" t="s">
        <v>214</v>
      </c>
      <c r="E149" s="53" t="s">
        <v>55</v>
      </c>
      <c r="F149" s="54" t="s">
        <v>56</v>
      </c>
      <c r="G149" s="7"/>
    </row>
    <row r="150" spans="1:7" x14ac:dyDescent="0.2">
      <c r="A150" s="270" t="s">
        <v>276</v>
      </c>
      <c r="B150" s="12" t="s">
        <v>8</v>
      </c>
      <c r="C150" s="299"/>
      <c r="D150" s="300"/>
      <c r="E150" s="13">
        <f>IFERROR(D150/C150,0)</f>
        <v>0</v>
      </c>
      <c r="G150" s="7"/>
    </row>
    <row r="151" spans="1:7" ht="13.15" customHeight="1" x14ac:dyDescent="0.2">
      <c r="A151" s="14" t="s">
        <v>24</v>
      </c>
      <c r="B151" s="15" t="s">
        <v>8</v>
      </c>
      <c r="C151" s="299"/>
      <c r="D151" s="300"/>
      <c r="E151" s="13">
        <f t="shared" ref="E151:E159" si="3">IFERROR(D151/C151,0)</f>
        <v>0</v>
      </c>
      <c r="G151" s="7"/>
    </row>
    <row r="152" spans="1:7" x14ac:dyDescent="0.2">
      <c r="A152" s="14" t="s">
        <v>25</v>
      </c>
      <c r="B152" s="15" t="s">
        <v>8</v>
      </c>
      <c r="C152" s="299"/>
      <c r="D152" s="300"/>
      <c r="E152" s="13">
        <f t="shared" si="3"/>
        <v>0</v>
      </c>
      <c r="G152" s="7"/>
    </row>
    <row r="153" spans="1:7" ht="13.15" customHeight="1" x14ac:dyDescent="0.2">
      <c r="A153" s="14" t="s">
        <v>26</v>
      </c>
      <c r="B153" s="15" t="s">
        <v>8</v>
      </c>
      <c r="C153" s="299"/>
      <c r="D153" s="300"/>
      <c r="E153" s="13">
        <f t="shared" si="3"/>
        <v>0</v>
      </c>
      <c r="G153" s="7"/>
    </row>
    <row r="154" spans="1:7" ht="13.9" customHeight="1" x14ac:dyDescent="0.2">
      <c r="A154" s="276" t="s">
        <v>275</v>
      </c>
      <c r="B154" s="15" t="s">
        <v>41</v>
      </c>
      <c r="C154" s="299"/>
      <c r="D154" s="300"/>
      <c r="E154" s="13">
        <f t="shared" si="3"/>
        <v>0</v>
      </c>
      <c r="G154" s="7"/>
    </row>
    <row r="155" spans="1:7" ht="13.15" customHeight="1" x14ac:dyDescent="0.2">
      <c r="A155" s="276" t="s">
        <v>85</v>
      </c>
      <c r="B155" s="15" t="s">
        <v>41</v>
      </c>
      <c r="C155" s="299"/>
      <c r="D155" s="300"/>
      <c r="E155" s="13">
        <f t="shared" si="3"/>
        <v>0</v>
      </c>
    </row>
    <row r="156" spans="1:7" x14ac:dyDescent="0.2">
      <c r="A156" s="276" t="s">
        <v>278</v>
      </c>
      <c r="B156" s="15" t="s">
        <v>8</v>
      </c>
      <c r="C156" s="299"/>
      <c r="D156" s="301"/>
      <c r="E156" s="13">
        <f t="shared" si="3"/>
        <v>0</v>
      </c>
    </row>
    <row r="157" spans="1:7" s="1" customFormat="1" x14ac:dyDescent="0.2">
      <c r="A157" s="310" t="s">
        <v>277</v>
      </c>
      <c r="B157" s="2" t="s">
        <v>8</v>
      </c>
      <c r="C157" s="299"/>
      <c r="D157" s="300"/>
      <c r="E157" s="13">
        <f t="shared" si="3"/>
        <v>0</v>
      </c>
      <c r="F157" s="293"/>
      <c r="G157" s="31"/>
    </row>
    <row r="158" spans="1:7" x14ac:dyDescent="0.2">
      <c r="A158" s="276" t="s">
        <v>27</v>
      </c>
      <c r="B158" s="15" t="s">
        <v>41</v>
      </c>
      <c r="C158" s="299"/>
      <c r="D158" s="300"/>
      <c r="E158" s="13">
        <f>IFERROR(D158/C158,0)</f>
        <v>0</v>
      </c>
    </row>
    <row r="159" spans="1:7" ht="13.15" customHeight="1" x14ac:dyDescent="0.2">
      <c r="A159" s="14" t="s">
        <v>52</v>
      </c>
      <c r="B159" s="15" t="s">
        <v>42</v>
      </c>
      <c r="C159" s="299"/>
      <c r="D159" s="300"/>
      <c r="E159" s="13">
        <f t="shared" si="3"/>
        <v>0</v>
      </c>
    </row>
    <row r="160" spans="1:7" ht="13.5" thickBot="1" x14ac:dyDescent="0.25">
      <c r="A160" s="14" t="s">
        <v>4</v>
      </c>
      <c r="B160" s="15" t="s">
        <v>5</v>
      </c>
      <c r="C160" s="302">
        <v>4</v>
      </c>
      <c r="D160" s="42">
        <f>+SUM(E150:E159)</f>
        <v>0</v>
      </c>
      <c r="E160" s="16">
        <f>C160*D160</f>
        <v>0</v>
      </c>
    </row>
    <row r="161" spans="1:7" ht="13.5" thickBot="1" x14ac:dyDescent="0.25">
      <c r="D161" s="8" t="s">
        <v>181</v>
      </c>
      <c r="E161" s="16">
        <f>$B$63</f>
        <v>1</v>
      </c>
      <c r="F161" s="106">
        <f>E160*E161</f>
        <v>0</v>
      </c>
    </row>
    <row r="162" spans="1:7" ht="11.25" customHeight="1" x14ac:dyDescent="0.2"/>
    <row r="163" spans="1:7" ht="13.9" customHeight="1" x14ac:dyDescent="0.2">
      <c r="A163" s="5" t="s">
        <v>301</v>
      </c>
    </row>
    <row r="164" spans="1:7" ht="11.25" customHeight="1" thickBot="1" x14ac:dyDescent="0.25"/>
    <row r="165" spans="1:7" ht="24.75" thickBot="1" x14ac:dyDescent="0.25">
      <c r="A165" s="51" t="s">
        <v>53</v>
      </c>
      <c r="B165" s="52" t="s">
        <v>54</v>
      </c>
      <c r="C165" s="236" t="s">
        <v>229</v>
      </c>
      <c r="D165" s="53" t="s">
        <v>214</v>
      </c>
      <c r="E165" s="53" t="s">
        <v>55</v>
      </c>
      <c r="F165" s="54" t="s">
        <v>56</v>
      </c>
    </row>
    <row r="166" spans="1:7" x14ac:dyDescent="0.2">
      <c r="A166" s="11" t="s">
        <v>57</v>
      </c>
      <c r="B166" s="12" t="s">
        <v>8</v>
      </c>
      <c r="C166" s="299"/>
      <c r="D166" s="13">
        <f>+D150</f>
        <v>0</v>
      </c>
      <c r="E166" s="13">
        <f t="shared" ref="E166:E171" si="4">IFERROR(D166/C166,0)</f>
        <v>0</v>
      </c>
    </row>
    <row r="167" spans="1:7" x14ac:dyDescent="0.2">
      <c r="A167" s="14" t="s">
        <v>24</v>
      </c>
      <c r="B167" s="15" t="s">
        <v>8</v>
      </c>
      <c r="C167" s="299"/>
      <c r="D167" s="16">
        <f>+D151</f>
        <v>0</v>
      </c>
      <c r="E167" s="13">
        <f t="shared" si="4"/>
        <v>0</v>
      </c>
    </row>
    <row r="168" spans="1:7" x14ac:dyDescent="0.2">
      <c r="A168" s="14" t="s">
        <v>25</v>
      </c>
      <c r="B168" s="15" t="s">
        <v>8</v>
      </c>
      <c r="C168" s="299"/>
      <c r="D168" s="16">
        <f>+D152</f>
        <v>0</v>
      </c>
      <c r="E168" s="13">
        <f t="shared" si="4"/>
        <v>0</v>
      </c>
    </row>
    <row r="169" spans="1:7" x14ac:dyDescent="0.2">
      <c r="A169" s="14" t="s">
        <v>59</v>
      </c>
      <c r="B169" s="15" t="s">
        <v>41</v>
      </c>
      <c r="C169" s="299"/>
      <c r="D169" s="16">
        <f>+D154</f>
        <v>0</v>
      </c>
      <c r="E169" s="13">
        <f t="shared" si="4"/>
        <v>0</v>
      </c>
    </row>
    <row r="170" spans="1:7" x14ac:dyDescent="0.2">
      <c r="A170" s="14" t="s">
        <v>58</v>
      </c>
      <c r="B170" s="15" t="s">
        <v>8</v>
      </c>
      <c r="C170" s="299"/>
      <c r="D170" s="16">
        <f>+D156</f>
        <v>0</v>
      </c>
      <c r="E170" s="13">
        <f t="shared" si="4"/>
        <v>0</v>
      </c>
      <c r="G170" s="7"/>
    </row>
    <row r="171" spans="1:7" x14ac:dyDescent="0.2">
      <c r="A171" s="14" t="s">
        <v>52</v>
      </c>
      <c r="B171" s="15" t="s">
        <v>42</v>
      </c>
      <c r="C171" s="299"/>
      <c r="D171" s="16">
        <f>+D159</f>
        <v>0</v>
      </c>
      <c r="E171" s="13">
        <f t="shared" si="4"/>
        <v>0</v>
      </c>
      <c r="G171" s="7"/>
    </row>
    <row r="172" spans="1:7" ht="13.5" thickBot="1" x14ac:dyDescent="0.25">
      <c r="A172" s="14" t="s">
        <v>4</v>
      </c>
      <c r="B172" s="15" t="s">
        <v>5</v>
      </c>
      <c r="C172" s="60">
        <v>3</v>
      </c>
      <c r="D172" s="16">
        <f>+SUM(E166:E171)</f>
        <v>0</v>
      </c>
      <c r="E172" s="16">
        <f>C172*D172</f>
        <v>0</v>
      </c>
      <c r="G172" s="7"/>
    </row>
    <row r="173" spans="1:7" ht="13.5" thickBot="1" x14ac:dyDescent="0.25">
      <c r="D173" s="105" t="s">
        <v>181</v>
      </c>
      <c r="E173" s="16">
        <f>$B$63</f>
        <v>1</v>
      </c>
      <c r="F173" s="106">
        <f>E172*E173</f>
        <v>0</v>
      </c>
      <c r="G173" s="7"/>
    </row>
    <row r="174" spans="1:7" ht="11.25" customHeight="1" thickBot="1" x14ac:dyDescent="0.25">
      <c r="G174" s="7"/>
    </row>
    <row r="175" spans="1:7" ht="13.5" thickBot="1" x14ac:dyDescent="0.25">
      <c r="A175" s="20" t="s">
        <v>184</v>
      </c>
      <c r="B175" s="23"/>
      <c r="C175" s="23"/>
      <c r="D175" s="24"/>
      <c r="E175" s="294"/>
      <c r="F175" s="19">
        <f>+F161+F173</f>
        <v>0</v>
      </c>
      <c r="G175" s="7"/>
    </row>
    <row r="176" spans="1:7" ht="11.25" customHeight="1" x14ac:dyDescent="0.2">
      <c r="G176" s="7"/>
    </row>
    <row r="177" spans="1:10" x14ac:dyDescent="0.2">
      <c r="A177" s="9" t="s">
        <v>44</v>
      </c>
      <c r="G177" s="7"/>
    </row>
    <row r="178" spans="1:10" ht="11.25" customHeight="1" x14ac:dyDescent="0.2">
      <c r="B178" s="93"/>
      <c r="G178" s="7"/>
    </row>
    <row r="179" spans="1:10" x14ac:dyDescent="0.2">
      <c r="A179" s="5" t="s">
        <v>272</v>
      </c>
      <c r="G179" s="7"/>
    </row>
    <row r="180" spans="1:10" ht="11.25" customHeight="1" x14ac:dyDescent="0.2">
      <c r="G180" s="7"/>
    </row>
    <row r="181" spans="1:10" ht="13.5" thickBot="1" x14ac:dyDescent="0.25">
      <c r="A181" s="93" t="s">
        <v>39</v>
      </c>
      <c r="G181" s="7"/>
    </row>
    <row r="182" spans="1:10" ht="13.5" thickBot="1" x14ac:dyDescent="0.25">
      <c r="A182" s="51" t="s">
        <v>53</v>
      </c>
      <c r="B182" s="52" t="s">
        <v>54</v>
      </c>
      <c r="C182" s="52" t="s">
        <v>33</v>
      </c>
      <c r="D182" s="53" t="s">
        <v>214</v>
      </c>
      <c r="E182" s="53" t="s">
        <v>55</v>
      </c>
      <c r="F182" s="54" t="s">
        <v>56</v>
      </c>
      <c r="G182" s="7"/>
    </row>
    <row r="183" spans="1:10" x14ac:dyDescent="0.2">
      <c r="A183" s="11" t="s">
        <v>95</v>
      </c>
      <c r="B183" s="12" t="s">
        <v>8</v>
      </c>
      <c r="C183" s="242">
        <v>1</v>
      </c>
      <c r="D183" s="74"/>
      <c r="E183" s="13">
        <f>C183*D183</f>
        <v>0</v>
      </c>
      <c r="G183" s="7"/>
    </row>
    <row r="184" spans="1:10" x14ac:dyDescent="0.2">
      <c r="A184" s="14" t="s">
        <v>89</v>
      </c>
      <c r="B184" s="15" t="s">
        <v>90</v>
      </c>
      <c r="C184" s="73"/>
      <c r="D184" s="70"/>
      <c r="E184" s="16"/>
      <c r="G184" s="7"/>
    </row>
    <row r="185" spans="1:10" x14ac:dyDescent="0.2">
      <c r="A185" s="14" t="s">
        <v>189</v>
      </c>
      <c r="B185" s="15" t="s">
        <v>90</v>
      </c>
      <c r="C185" s="73"/>
      <c r="D185" s="16"/>
      <c r="E185" s="16"/>
      <c r="I185" s="72"/>
      <c r="J185" s="72"/>
    </row>
    <row r="186" spans="1:10" x14ac:dyDescent="0.2">
      <c r="A186" s="14" t="s">
        <v>93</v>
      </c>
      <c r="B186" s="15" t="s">
        <v>1</v>
      </c>
      <c r="C186" s="117"/>
      <c r="D186" s="16">
        <f>E183</f>
        <v>0</v>
      </c>
      <c r="E186" s="16">
        <f>C186*D186/100</f>
        <v>0</v>
      </c>
    </row>
    <row r="187" spans="1:10" ht="13.5" thickBot="1" x14ac:dyDescent="0.25">
      <c r="A187" s="245" t="s">
        <v>43</v>
      </c>
      <c r="B187" s="246" t="s">
        <v>6</v>
      </c>
      <c r="C187" s="246">
        <f>C184*12</f>
        <v>0</v>
      </c>
      <c r="D187" s="247">
        <f>IF(C185&lt;=C184,E186,0)</f>
        <v>0</v>
      </c>
      <c r="E187" s="247">
        <f>IFERROR(D187/C187,0)</f>
        <v>0</v>
      </c>
    </row>
    <row r="188" spans="1:10" ht="13.5" thickTop="1" x14ac:dyDescent="0.2">
      <c r="A188" s="11" t="s">
        <v>94</v>
      </c>
      <c r="B188" s="12" t="s">
        <v>8</v>
      </c>
      <c r="C188" s="12">
        <f>C183</f>
        <v>1</v>
      </c>
      <c r="D188" s="74"/>
      <c r="E188" s="13">
        <f>C188*D188</f>
        <v>0</v>
      </c>
      <c r="G188" s="7"/>
    </row>
    <row r="189" spans="1:10" x14ac:dyDescent="0.2">
      <c r="A189" s="14" t="s">
        <v>91</v>
      </c>
      <c r="B189" s="15" t="s">
        <v>90</v>
      </c>
      <c r="C189" s="73"/>
      <c r="D189" s="16"/>
      <c r="E189" s="16"/>
    </row>
    <row r="190" spans="1:10" x14ac:dyDescent="0.2">
      <c r="A190" s="14" t="s">
        <v>190</v>
      </c>
      <c r="B190" s="15" t="s">
        <v>90</v>
      </c>
      <c r="C190" s="73"/>
      <c r="D190" s="16"/>
      <c r="E190" s="16"/>
      <c r="I190" s="72"/>
      <c r="J190" s="72"/>
    </row>
    <row r="191" spans="1:10" x14ac:dyDescent="0.2">
      <c r="A191" s="14" t="s">
        <v>92</v>
      </c>
      <c r="B191" s="15" t="s">
        <v>1</v>
      </c>
      <c r="C191" s="118">
        <f>IFERROR(VLOOKUP(C189,'5. Depreciação'!A3:B17,2,FALSE),0)</f>
        <v>0</v>
      </c>
      <c r="D191" s="16">
        <f>E188</f>
        <v>0</v>
      </c>
      <c r="E191" s="16">
        <f>C191*D191/100</f>
        <v>0</v>
      </c>
    </row>
    <row r="192" spans="1:10" x14ac:dyDescent="0.2">
      <c r="A192" s="89" t="s">
        <v>96</v>
      </c>
      <c r="B192" s="90" t="s">
        <v>6</v>
      </c>
      <c r="C192" s="90">
        <f>C189*12</f>
        <v>0</v>
      </c>
      <c r="D192" s="91">
        <f>IF(C190&lt;=C189,E191,0)</f>
        <v>0</v>
      </c>
      <c r="E192" s="91">
        <f>IFERROR(D192/C192,0)</f>
        <v>0</v>
      </c>
    </row>
    <row r="193" spans="1:10" x14ac:dyDescent="0.2">
      <c r="A193" s="100" t="s">
        <v>232</v>
      </c>
      <c r="B193" s="101"/>
      <c r="C193" s="101"/>
      <c r="D193" s="102"/>
      <c r="E193" s="103">
        <f>E187+E192</f>
        <v>0</v>
      </c>
    </row>
    <row r="194" spans="1:10" ht="13.5" thickBot="1" x14ac:dyDescent="0.25">
      <c r="A194" s="89" t="s">
        <v>233</v>
      </c>
      <c r="B194" s="90" t="s">
        <v>8</v>
      </c>
      <c r="C194" s="243">
        <v>2</v>
      </c>
      <c r="D194" s="91">
        <f>E193</f>
        <v>0</v>
      </c>
      <c r="E194" s="103">
        <f>C194*D194</f>
        <v>0</v>
      </c>
    </row>
    <row r="195" spans="1:10" ht="13.5" thickBot="1" x14ac:dyDescent="0.25">
      <c r="A195" s="241"/>
      <c r="B195" s="241"/>
      <c r="C195" s="241"/>
      <c r="D195" s="105" t="s">
        <v>181</v>
      </c>
      <c r="E195" s="16">
        <f>$B$63</f>
        <v>1</v>
      </c>
      <c r="F195" s="19">
        <f>E194*E195</f>
        <v>0</v>
      </c>
    </row>
    <row r="196" spans="1:10" ht="11.25" customHeight="1" x14ac:dyDescent="0.2"/>
    <row r="197" spans="1:10" ht="13.5" thickBot="1" x14ac:dyDescent="0.25">
      <c r="A197" s="93" t="s">
        <v>101</v>
      </c>
    </row>
    <row r="198" spans="1:10" ht="13.5" thickBot="1" x14ac:dyDescent="0.25">
      <c r="A198" s="95" t="s">
        <v>53</v>
      </c>
      <c r="B198" s="96" t="s">
        <v>54</v>
      </c>
      <c r="C198" s="96" t="s">
        <v>33</v>
      </c>
      <c r="D198" s="53" t="s">
        <v>214</v>
      </c>
      <c r="E198" s="97" t="s">
        <v>55</v>
      </c>
      <c r="F198" s="54" t="s">
        <v>56</v>
      </c>
      <c r="I198" s="72"/>
      <c r="J198" s="72"/>
    </row>
    <row r="199" spans="1:10" x14ac:dyDescent="0.2">
      <c r="A199" s="14" t="s">
        <v>99</v>
      </c>
      <c r="B199" s="15" t="s">
        <v>8</v>
      </c>
      <c r="C199" s="242">
        <v>1</v>
      </c>
      <c r="D199" s="16">
        <f>D183</f>
        <v>0</v>
      </c>
      <c r="E199" s="16">
        <f>C199*D199</f>
        <v>0</v>
      </c>
      <c r="I199" s="72"/>
      <c r="J199" s="72"/>
    </row>
    <row r="200" spans="1:10" x14ac:dyDescent="0.2">
      <c r="A200" s="14" t="s">
        <v>193</v>
      </c>
      <c r="B200" s="15" t="s">
        <v>1</v>
      </c>
      <c r="C200" s="73"/>
      <c r="D200" s="16"/>
      <c r="E200" s="16"/>
      <c r="I200" s="72"/>
      <c r="J200" s="72"/>
    </row>
    <row r="201" spans="1:10" x14ac:dyDescent="0.2">
      <c r="A201" s="14" t="s">
        <v>191</v>
      </c>
      <c r="B201" s="15" t="s">
        <v>28</v>
      </c>
      <c r="C201" s="123">
        <f>IFERROR(IF(C185&lt;=C184,E183-(C186/(100*C184)*C185)*E183,E183-E186),0)</f>
        <v>0</v>
      </c>
      <c r="D201" s="16"/>
      <c r="E201" s="16"/>
      <c r="I201" s="72"/>
      <c r="J201" s="72"/>
    </row>
    <row r="202" spans="1:10" x14ac:dyDescent="0.2">
      <c r="A202" s="14" t="s">
        <v>104</v>
      </c>
      <c r="B202" s="15" t="s">
        <v>28</v>
      </c>
      <c r="C202" s="70">
        <f>IFERROR(IF(C185&gt;=C184,C201,((((C201)-(E183-E186))*(((C184-C185)+1)/(2*(C184-C185))))+(E183-E186))),0)</f>
        <v>0</v>
      </c>
      <c r="D202" s="16"/>
      <c r="E202" s="16"/>
      <c r="I202" s="72"/>
      <c r="J202" s="72"/>
    </row>
    <row r="203" spans="1:10" ht="13.5" thickBot="1" x14ac:dyDescent="0.25">
      <c r="A203" s="245" t="s">
        <v>105</v>
      </c>
      <c r="B203" s="246" t="s">
        <v>28</v>
      </c>
      <c r="C203" s="246"/>
      <c r="D203" s="248">
        <f>C200*C202/12/100</f>
        <v>0</v>
      </c>
      <c r="E203" s="247">
        <f>D203</f>
        <v>0</v>
      </c>
      <c r="I203" s="72"/>
      <c r="J203" s="72"/>
    </row>
    <row r="204" spans="1:10" ht="13.5" thickTop="1" x14ac:dyDescent="0.2">
      <c r="A204" s="11" t="s">
        <v>100</v>
      </c>
      <c r="B204" s="12" t="s">
        <v>8</v>
      </c>
      <c r="C204" s="12">
        <f>C188</f>
        <v>1</v>
      </c>
      <c r="D204" s="13">
        <f>D188</f>
        <v>0</v>
      </c>
      <c r="E204" s="13">
        <f>C204*D204</f>
        <v>0</v>
      </c>
      <c r="I204" s="72"/>
      <c r="J204" s="72"/>
    </row>
    <row r="205" spans="1:10" x14ac:dyDescent="0.2">
      <c r="A205" s="14" t="s">
        <v>193</v>
      </c>
      <c r="B205" s="15" t="s">
        <v>1</v>
      </c>
      <c r="C205" s="243">
        <f>C200</f>
        <v>0</v>
      </c>
      <c r="D205" s="16"/>
      <c r="E205" s="16"/>
      <c r="I205" s="72"/>
      <c r="J205" s="72"/>
    </row>
    <row r="206" spans="1:10" x14ac:dyDescent="0.2">
      <c r="A206" s="14" t="s">
        <v>192</v>
      </c>
      <c r="B206" s="15" t="s">
        <v>28</v>
      </c>
      <c r="C206" s="123">
        <f>IFERROR(IF(C190&lt;=C189,E188-(C191/(100*C189)*C190)*E188,E188-E191),0)</f>
        <v>0</v>
      </c>
      <c r="D206" s="16"/>
      <c r="E206" s="16"/>
      <c r="I206" s="72"/>
      <c r="J206" s="72"/>
    </row>
    <row r="207" spans="1:10" x14ac:dyDescent="0.2">
      <c r="A207" s="14" t="s">
        <v>106</v>
      </c>
      <c r="B207" s="15" t="s">
        <v>28</v>
      </c>
      <c r="C207" s="70">
        <f>IFERROR(IF(C190&gt;=C189,C206,((((C206)-(E188-E191))*(((C189-C190)+1)/(2*(C189-C190))))+(E188-E191))),0)</f>
        <v>0</v>
      </c>
      <c r="D207" s="16"/>
      <c r="E207" s="16"/>
      <c r="I207" s="72"/>
      <c r="J207" s="72"/>
    </row>
    <row r="208" spans="1:10" x14ac:dyDescent="0.2">
      <c r="A208" s="89" t="s">
        <v>103</v>
      </c>
      <c r="B208" s="90" t="s">
        <v>28</v>
      </c>
      <c r="C208" s="90"/>
      <c r="D208" s="99">
        <f>C205*C207/12/100</f>
        <v>0</v>
      </c>
      <c r="E208" s="91">
        <f>D208</f>
        <v>0</v>
      </c>
      <c r="I208" s="72"/>
      <c r="J208" s="72"/>
    </row>
    <row r="209" spans="1:10" x14ac:dyDescent="0.2">
      <c r="A209" s="100" t="s">
        <v>232</v>
      </c>
      <c r="B209" s="101"/>
      <c r="C209" s="101"/>
      <c r="D209" s="102"/>
      <c r="E209" s="103">
        <f>E203+E208</f>
        <v>0</v>
      </c>
      <c r="I209" s="72"/>
      <c r="J209" s="72"/>
    </row>
    <row r="210" spans="1:10" ht="13.5" thickBot="1" x14ac:dyDescent="0.25">
      <c r="A210" s="89" t="s">
        <v>233</v>
      </c>
      <c r="B210" s="90" t="s">
        <v>8</v>
      </c>
      <c r="C210" s="243">
        <f>C194</f>
        <v>2</v>
      </c>
      <c r="D210" s="91">
        <f>E209</f>
        <v>0</v>
      </c>
      <c r="E210" s="103">
        <f>C210*D210</f>
        <v>0</v>
      </c>
      <c r="I210" s="72"/>
      <c r="J210" s="72"/>
    </row>
    <row r="211" spans="1:10" ht="13.5" thickBot="1" x14ac:dyDescent="0.25">
      <c r="C211" s="17"/>
      <c r="D211" s="105" t="s">
        <v>181</v>
      </c>
      <c r="E211" s="16">
        <f>$B$63</f>
        <v>1</v>
      </c>
      <c r="F211" s="19">
        <f>E210*E211</f>
        <v>0</v>
      </c>
      <c r="I211" s="72"/>
      <c r="J211" s="72"/>
    </row>
    <row r="212" spans="1:10" x14ac:dyDescent="0.2">
      <c r="C212" s="17"/>
      <c r="D212" s="105"/>
      <c r="E212" s="312"/>
      <c r="F212" s="26"/>
      <c r="I212" s="72"/>
      <c r="J212" s="72"/>
    </row>
    <row r="213" spans="1:10" ht="13.5" hidden="1" thickBot="1" x14ac:dyDescent="0.25">
      <c r="A213" s="5" t="s">
        <v>279</v>
      </c>
      <c r="C213" s="17"/>
      <c r="D213" s="105"/>
      <c r="E213" s="312"/>
      <c r="F213" s="26"/>
      <c r="I213" s="72"/>
      <c r="J213" s="72"/>
    </row>
    <row r="214" spans="1:10" ht="13.5" hidden="1" thickBot="1" x14ac:dyDescent="0.25">
      <c r="A214" s="95" t="s">
        <v>53</v>
      </c>
      <c r="B214" s="96" t="s">
        <v>54</v>
      </c>
      <c r="C214" s="96" t="s">
        <v>33</v>
      </c>
      <c r="D214" s="97" t="s">
        <v>214</v>
      </c>
      <c r="E214" s="97" t="s">
        <v>55</v>
      </c>
      <c r="F214" s="54" t="s">
        <v>56</v>
      </c>
      <c r="I214" s="72"/>
      <c r="J214" s="72"/>
    </row>
    <row r="215" spans="1:10" s="44" customFormat="1" ht="13.5" hidden="1" thickBot="1" x14ac:dyDescent="0.25">
      <c r="A215" s="317" t="s">
        <v>281</v>
      </c>
      <c r="B215" s="316" t="s">
        <v>54</v>
      </c>
      <c r="C215" s="316">
        <v>0</v>
      </c>
      <c r="D215" s="318">
        <f>(F211+F195)*0.1</f>
        <v>0</v>
      </c>
      <c r="E215" s="318">
        <f>D215</f>
        <v>0</v>
      </c>
      <c r="F215" s="314"/>
      <c r="G215" s="98"/>
      <c r="I215" s="311"/>
      <c r="J215" s="311"/>
    </row>
    <row r="216" spans="1:10" s="44" customFormat="1" ht="13.5" hidden="1" thickBot="1" x14ac:dyDescent="0.25">
      <c r="A216" s="5" t="s">
        <v>280</v>
      </c>
      <c r="B216" s="313"/>
      <c r="C216" s="313"/>
      <c r="D216" s="314"/>
      <c r="E216" s="314"/>
      <c r="F216" s="315">
        <f>E215</f>
        <v>0</v>
      </c>
      <c r="G216" s="98"/>
      <c r="I216" s="311"/>
      <c r="J216" s="311"/>
    </row>
    <row r="217" spans="1:10" ht="11.25" customHeight="1" x14ac:dyDescent="0.2">
      <c r="I217" s="72"/>
      <c r="J217" s="72"/>
    </row>
    <row r="218" spans="1:10" ht="13.5" thickBot="1" x14ac:dyDescent="0.25">
      <c r="A218" s="5" t="s">
        <v>317</v>
      </c>
      <c r="I218" s="72"/>
      <c r="J218" s="72"/>
    </row>
    <row r="219" spans="1:10" ht="13.5" thickBot="1" x14ac:dyDescent="0.25">
      <c r="A219" s="51" t="s">
        <v>53</v>
      </c>
      <c r="B219" s="52" t="s">
        <v>54</v>
      </c>
      <c r="C219" s="52" t="s">
        <v>33</v>
      </c>
      <c r="D219" s="53" t="s">
        <v>214</v>
      </c>
      <c r="E219" s="53" t="s">
        <v>55</v>
      </c>
      <c r="F219" s="54" t="s">
        <v>56</v>
      </c>
      <c r="I219" s="72"/>
      <c r="J219" s="72"/>
    </row>
    <row r="220" spans="1:10" x14ac:dyDescent="0.2">
      <c r="A220" s="11" t="s">
        <v>9</v>
      </c>
      <c r="B220" s="12" t="s">
        <v>8</v>
      </c>
      <c r="C220" s="13">
        <f>C194</f>
        <v>2</v>
      </c>
      <c r="D220" s="13">
        <f>0.01*($E$183)</f>
        <v>0</v>
      </c>
      <c r="E220" s="13">
        <f>C220*D220</f>
        <v>0</v>
      </c>
      <c r="I220" s="72"/>
      <c r="J220" s="72"/>
    </row>
    <row r="221" spans="1:10" x14ac:dyDescent="0.2">
      <c r="A221" s="14" t="s">
        <v>180</v>
      </c>
      <c r="B221" s="15" t="s">
        <v>8</v>
      </c>
      <c r="C221" s="13">
        <f>C194</f>
        <v>2</v>
      </c>
      <c r="D221" s="75"/>
      <c r="E221" s="16">
        <f>C221*D221</f>
        <v>0</v>
      </c>
      <c r="I221" s="72"/>
      <c r="J221" s="72"/>
    </row>
    <row r="222" spans="1:10" ht="13.5" thickBot="1" x14ac:dyDescent="0.25">
      <c r="A222" s="89" t="s">
        <v>10</v>
      </c>
      <c r="B222" s="90" t="s">
        <v>6</v>
      </c>
      <c r="C222" s="90">
        <v>12</v>
      </c>
      <c r="D222" s="91">
        <f>SUM(E220:E221)</f>
        <v>0</v>
      </c>
      <c r="E222" s="91">
        <f>D222/C222</f>
        <v>0</v>
      </c>
      <c r="I222" s="72"/>
      <c r="J222" s="72"/>
    </row>
    <row r="223" spans="1:10" ht="13.5" thickBot="1" x14ac:dyDescent="0.25">
      <c r="D223" s="105" t="s">
        <v>181</v>
      </c>
      <c r="E223" s="16">
        <f>$B$63</f>
        <v>1</v>
      </c>
      <c r="F223" s="106">
        <f>E222*E223</f>
        <v>0</v>
      </c>
      <c r="I223" s="72"/>
      <c r="J223" s="72"/>
    </row>
    <row r="224" spans="1:10" ht="11.25" customHeight="1" x14ac:dyDescent="0.2">
      <c r="I224" s="72"/>
      <c r="J224" s="72"/>
    </row>
    <row r="225" spans="1:10" x14ac:dyDescent="0.2">
      <c r="A225" s="5" t="s">
        <v>318</v>
      </c>
      <c r="B225" s="25"/>
      <c r="I225" s="72"/>
      <c r="J225" s="72"/>
    </row>
    <row r="226" spans="1:10" x14ac:dyDescent="0.2">
      <c r="B226" s="25"/>
      <c r="I226" s="72"/>
      <c r="J226" s="72"/>
    </row>
    <row r="227" spans="1:10" x14ac:dyDescent="0.2">
      <c r="A227" s="89" t="s">
        <v>108</v>
      </c>
      <c r="B227" s="334">
        <v>10064</v>
      </c>
      <c r="I227" s="72"/>
      <c r="J227" s="72"/>
    </row>
    <row r="228" spans="1:10" ht="13.5" thickBot="1" x14ac:dyDescent="0.25">
      <c r="B228" s="25"/>
      <c r="I228" s="72"/>
      <c r="J228" s="72"/>
    </row>
    <row r="229" spans="1:10" ht="13.5" thickBot="1" x14ac:dyDescent="0.25">
      <c r="A229" s="51" t="s">
        <v>53</v>
      </c>
      <c r="B229" s="52" t="s">
        <v>54</v>
      </c>
      <c r="C229" s="52" t="s">
        <v>231</v>
      </c>
      <c r="D229" s="53" t="s">
        <v>214</v>
      </c>
      <c r="E229" s="53" t="s">
        <v>55</v>
      </c>
      <c r="F229" s="54" t="s">
        <v>56</v>
      </c>
      <c r="I229" s="72"/>
      <c r="J229" s="72"/>
    </row>
    <row r="230" spans="1:10" x14ac:dyDescent="0.2">
      <c r="A230" s="11" t="s">
        <v>11</v>
      </c>
      <c r="B230" s="12" t="s">
        <v>12</v>
      </c>
      <c r="C230" s="83"/>
      <c r="D230" s="84"/>
      <c r="E230" s="13"/>
      <c r="I230" s="72"/>
      <c r="J230" s="72"/>
    </row>
    <row r="231" spans="1:10" x14ac:dyDescent="0.2">
      <c r="A231" s="14" t="s">
        <v>13</v>
      </c>
      <c r="B231" s="15" t="s">
        <v>14</v>
      </c>
      <c r="C231" s="80">
        <f>B227</f>
        <v>10064</v>
      </c>
      <c r="D231" s="240" t="str">
        <f>IFERROR(+D230/C230,"-")</f>
        <v>-</v>
      </c>
      <c r="E231" s="16" t="str">
        <f>IFERROR(C231*D231,"-")</f>
        <v>-</v>
      </c>
      <c r="I231" s="72"/>
      <c r="J231" s="72"/>
    </row>
    <row r="232" spans="1:10" x14ac:dyDescent="0.2">
      <c r="A232" s="14" t="s">
        <v>215</v>
      </c>
      <c r="B232" s="15" t="s">
        <v>15</v>
      </c>
      <c r="C232" s="86"/>
      <c r="D232" s="75"/>
      <c r="E232" s="16"/>
      <c r="G232" s="98"/>
      <c r="H232" s="44"/>
      <c r="I232" s="72"/>
      <c r="J232" s="72"/>
    </row>
    <row r="233" spans="1:10" x14ac:dyDescent="0.2">
      <c r="A233" s="14" t="s">
        <v>16</v>
      </c>
      <c r="B233" s="15" t="s">
        <v>14</v>
      </c>
      <c r="C233" s="80">
        <f>C231</f>
        <v>10064</v>
      </c>
      <c r="D233" s="237">
        <f>+C232*D232/1000</f>
        <v>0</v>
      </c>
      <c r="E233" s="16">
        <f>C233*D233</f>
        <v>0</v>
      </c>
      <c r="G233" s="98"/>
      <c r="H233" s="44"/>
      <c r="I233" s="72"/>
      <c r="J233" s="72"/>
    </row>
    <row r="234" spans="1:10" x14ac:dyDescent="0.2">
      <c r="A234" s="14" t="s">
        <v>216</v>
      </c>
      <c r="B234" s="15" t="s">
        <v>15</v>
      </c>
      <c r="C234" s="86"/>
      <c r="D234" s="75"/>
      <c r="E234" s="16"/>
      <c r="G234" s="98"/>
      <c r="H234" s="44"/>
      <c r="I234" s="72"/>
      <c r="J234" s="72"/>
    </row>
    <row r="235" spans="1:10" x14ac:dyDescent="0.2">
      <c r="A235" s="14" t="s">
        <v>17</v>
      </c>
      <c r="B235" s="15" t="s">
        <v>14</v>
      </c>
      <c r="C235" s="80">
        <f>C231</f>
        <v>10064</v>
      </c>
      <c r="D235" s="237">
        <f>+C234*D234/1000</f>
        <v>0</v>
      </c>
      <c r="E235" s="16">
        <f>C235*D235</f>
        <v>0</v>
      </c>
      <c r="G235" s="98"/>
      <c r="H235" s="44"/>
      <c r="I235" s="72"/>
      <c r="J235" s="72"/>
    </row>
    <row r="236" spans="1:10" x14ac:dyDescent="0.2">
      <c r="A236" s="14" t="s">
        <v>217</v>
      </c>
      <c r="B236" s="15" t="s">
        <v>15</v>
      </c>
      <c r="C236" s="86"/>
      <c r="D236" s="75"/>
      <c r="E236" s="16"/>
      <c r="G236" s="98"/>
      <c r="H236" s="44"/>
      <c r="I236" s="72"/>
      <c r="J236" s="72"/>
    </row>
    <row r="237" spans="1:10" x14ac:dyDescent="0.2">
      <c r="A237" s="14" t="s">
        <v>18</v>
      </c>
      <c r="B237" s="15" t="s">
        <v>14</v>
      </c>
      <c r="C237" s="80">
        <f>C231</f>
        <v>10064</v>
      </c>
      <c r="D237" s="237">
        <f>+C236*D236/1000</f>
        <v>0</v>
      </c>
      <c r="E237" s="16">
        <f>C237*D237</f>
        <v>0</v>
      </c>
      <c r="G237" s="98"/>
      <c r="H237" s="44"/>
      <c r="I237" s="72"/>
      <c r="J237" s="72"/>
    </row>
    <row r="238" spans="1:10" s="44" customFormat="1" x14ac:dyDescent="0.2">
      <c r="A238" s="307" t="s">
        <v>19</v>
      </c>
      <c r="B238" s="243" t="s">
        <v>20</v>
      </c>
      <c r="C238" s="86"/>
      <c r="D238" s="75"/>
      <c r="E238" s="70"/>
      <c r="F238" s="306"/>
      <c r="G238" s="98"/>
      <c r="I238" s="311"/>
      <c r="J238" s="311"/>
    </row>
    <row r="239" spans="1:10" x14ac:dyDescent="0.2">
      <c r="A239" s="14" t="s">
        <v>21</v>
      </c>
      <c r="B239" s="15" t="s">
        <v>14</v>
      </c>
      <c r="C239" s="80">
        <f>C231</f>
        <v>10064</v>
      </c>
      <c r="D239" s="237">
        <f>+C238*D238/1000</f>
        <v>0</v>
      </c>
      <c r="E239" s="16">
        <f>C239*D239</f>
        <v>0</v>
      </c>
      <c r="G239" s="98"/>
      <c r="H239" s="44"/>
      <c r="I239" s="72"/>
      <c r="J239" s="72"/>
    </row>
    <row r="240" spans="1:10" ht="13.5" thickBot="1" x14ac:dyDescent="0.25">
      <c r="A240" s="89" t="s">
        <v>230</v>
      </c>
      <c r="B240" s="90" t="s">
        <v>109</v>
      </c>
      <c r="C240" s="238"/>
      <c r="D240" s="239">
        <f>IFERROR(D231+D233+D235+D237+D239,0)</f>
        <v>0</v>
      </c>
      <c r="E240" s="16"/>
      <c r="G240" s="98"/>
      <c r="H240" s="44"/>
      <c r="I240" s="72"/>
      <c r="J240" s="72"/>
    </row>
    <row r="241" spans="1:10" ht="13.5" thickBot="1" x14ac:dyDescent="0.25">
      <c r="F241" s="19">
        <f>SUM(E230:E239)</f>
        <v>0</v>
      </c>
      <c r="I241" s="72"/>
      <c r="J241" s="72"/>
    </row>
    <row r="242" spans="1:10" ht="11.25" customHeight="1" x14ac:dyDescent="0.2">
      <c r="I242" s="72"/>
      <c r="J242" s="72"/>
    </row>
    <row r="243" spans="1:10" ht="13.5" thickBot="1" x14ac:dyDescent="0.25">
      <c r="A243" s="5" t="s">
        <v>282</v>
      </c>
      <c r="I243" s="72"/>
      <c r="J243" s="72"/>
    </row>
    <row r="244" spans="1:10" ht="13.5" thickBot="1" x14ac:dyDescent="0.25">
      <c r="A244" s="51" t="s">
        <v>53</v>
      </c>
      <c r="B244" s="52" t="s">
        <v>54</v>
      </c>
      <c r="C244" s="52" t="s">
        <v>33</v>
      </c>
      <c r="D244" s="53" t="s">
        <v>214</v>
      </c>
      <c r="E244" s="53" t="s">
        <v>55</v>
      </c>
      <c r="F244" s="54" t="s">
        <v>56</v>
      </c>
      <c r="I244" s="72"/>
      <c r="J244" s="72"/>
    </row>
    <row r="245" spans="1:10" ht="13.5" thickBot="1" x14ac:dyDescent="0.25">
      <c r="A245" s="11" t="s">
        <v>107</v>
      </c>
      <c r="B245" s="12" t="s">
        <v>109</v>
      </c>
      <c r="C245" s="80">
        <f>C231</f>
        <v>10064</v>
      </c>
      <c r="D245" s="74"/>
      <c r="E245" s="13">
        <f>C245*D245</f>
        <v>0</v>
      </c>
      <c r="I245" s="72"/>
      <c r="J245" s="72"/>
    </row>
    <row r="246" spans="1:10" ht="13.5" thickBot="1" x14ac:dyDescent="0.25">
      <c r="A246" s="5" t="s">
        <v>268</v>
      </c>
      <c r="F246" s="19">
        <f>E245</f>
        <v>0</v>
      </c>
      <c r="I246" s="72"/>
      <c r="J246" s="72"/>
    </row>
    <row r="247" spans="1:10" ht="11.25" customHeight="1" x14ac:dyDescent="0.2">
      <c r="I247" s="72"/>
      <c r="J247" s="72"/>
    </row>
    <row r="248" spans="1:10" ht="13.5" thickBot="1" x14ac:dyDescent="0.25">
      <c r="A248" s="5" t="s">
        <v>283</v>
      </c>
      <c r="I248" s="72"/>
      <c r="J248" s="72"/>
    </row>
    <row r="249" spans="1:10" ht="13.5" thickBot="1" x14ac:dyDescent="0.25">
      <c r="A249" s="51" t="s">
        <v>53</v>
      </c>
      <c r="B249" s="52" t="s">
        <v>54</v>
      </c>
      <c r="C249" s="52" t="s">
        <v>33</v>
      </c>
      <c r="D249" s="53" t="s">
        <v>214</v>
      </c>
      <c r="E249" s="53" t="s">
        <v>55</v>
      </c>
      <c r="F249" s="54" t="s">
        <v>56</v>
      </c>
      <c r="I249" s="72"/>
      <c r="J249" s="72"/>
    </row>
    <row r="250" spans="1:10" x14ac:dyDescent="0.2">
      <c r="A250" s="11" t="s">
        <v>86</v>
      </c>
      <c r="B250" s="12" t="s">
        <v>8</v>
      </c>
      <c r="C250" s="82"/>
      <c r="D250" s="74"/>
      <c r="E250" s="13">
        <f>C250*D250</f>
        <v>0</v>
      </c>
      <c r="I250" s="72"/>
      <c r="J250" s="72"/>
    </row>
    <row r="251" spans="1:10" x14ac:dyDescent="0.2">
      <c r="A251" s="11" t="s">
        <v>110</v>
      </c>
      <c r="B251" s="12" t="s">
        <v>8</v>
      </c>
      <c r="C251" s="82"/>
      <c r="D251" s="92"/>
      <c r="E251" s="13"/>
      <c r="I251" s="72"/>
      <c r="J251" s="72"/>
    </row>
    <row r="252" spans="1:10" x14ac:dyDescent="0.2">
      <c r="A252" s="11" t="s">
        <v>60</v>
      </c>
      <c r="B252" s="12" t="s">
        <v>8</v>
      </c>
      <c r="C252" s="13">
        <f>C250*C251</f>
        <v>0</v>
      </c>
      <c r="D252" s="74"/>
      <c r="E252" s="13">
        <f>C252*D252</f>
        <v>0</v>
      </c>
      <c r="I252" s="72"/>
      <c r="J252" s="72"/>
    </row>
    <row r="253" spans="1:10" x14ac:dyDescent="0.2">
      <c r="A253" s="14" t="s">
        <v>87</v>
      </c>
      <c r="B253" s="15" t="s">
        <v>22</v>
      </c>
      <c r="C253" s="85"/>
      <c r="D253" s="16">
        <f>E250+E252</f>
        <v>0</v>
      </c>
      <c r="E253" s="16" t="str">
        <f>IFERROR(D253/C253,"-")</f>
        <v>-</v>
      </c>
      <c r="I253" s="72"/>
      <c r="J253" s="72"/>
    </row>
    <row r="254" spans="1:10" ht="13.5" thickBot="1" x14ac:dyDescent="0.25">
      <c r="A254" s="14" t="s">
        <v>45</v>
      </c>
      <c r="B254" s="15" t="s">
        <v>14</v>
      </c>
      <c r="C254" s="80">
        <f>B227</f>
        <v>10064</v>
      </c>
      <c r="D254" s="16" t="str">
        <f>E253</f>
        <v>-</v>
      </c>
      <c r="E254" s="16">
        <f>IFERROR(C254*D254,0)</f>
        <v>0</v>
      </c>
      <c r="I254" s="72"/>
      <c r="J254" s="72"/>
    </row>
    <row r="255" spans="1:10" ht="13.5" thickBot="1" x14ac:dyDescent="0.25">
      <c r="F255" s="19">
        <f>E254</f>
        <v>0</v>
      </c>
      <c r="I255" s="72"/>
      <c r="J255" s="72"/>
    </row>
    <row r="256" spans="1:10" x14ac:dyDescent="0.2">
      <c r="F256" s="26"/>
      <c r="I256" s="72"/>
      <c r="J256" s="72"/>
    </row>
    <row r="257" spans="1:10" s="308" customFormat="1" hidden="1" x14ac:dyDescent="0.2">
      <c r="A257" s="305" t="s">
        <v>284</v>
      </c>
      <c r="B257" s="44"/>
      <c r="C257" s="44"/>
      <c r="D257" s="98"/>
      <c r="E257" s="306"/>
      <c r="F257" s="306"/>
    </row>
    <row r="258" spans="1:10" ht="11.25" hidden="1" customHeight="1" x14ac:dyDescent="0.2">
      <c r="G258" s="7"/>
    </row>
    <row r="259" spans="1:10" ht="13.5" hidden="1" thickBot="1" x14ac:dyDescent="0.25">
      <c r="A259" s="93" t="s">
        <v>285</v>
      </c>
      <c r="G259" s="7"/>
    </row>
    <row r="260" spans="1:10" ht="13.5" hidden="1" thickBot="1" x14ac:dyDescent="0.25">
      <c r="A260" s="51" t="s">
        <v>53</v>
      </c>
      <c r="B260" s="52" t="s">
        <v>54</v>
      </c>
      <c r="C260" s="52" t="s">
        <v>33</v>
      </c>
      <c r="D260" s="53" t="s">
        <v>214</v>
      </c>
      <c r="E260" s="53" t="s">
        <v>55</v>
      </c>
      <c r="F260" s="54" t="s">
        <v>56</v>
      </c>
      <c r="G260" s="7"/>
    </row>
    <row r="261" spans="1:10" hidden="1" x14ac:dyDescent="0.2">
      <c r="A261" s="270" t="s">
        <v>286</v>
      </c>
      <c r="B261" s="12" t="s">
        <v>8</v>
      </c>
      <c r="C261" s="242">
        <v>0</v>
      </c>
      <c r="D261" s="74"/>
      <c r="E261" s="13">
        <f>C261*D261</f>
        <v>0</v>
      </c>
      <c r="G261" s="7"/>
    </row>
    <row r="262" spans="1:10" hidden="1" x14ac:dyDescent="0.2">
      <c r="A262" s="276" t="s">
        <v>287</v>
      </c>
      <c r="B262" s="15" t="s">
        <v>90</v>
      </c>
      <c r="C262" s="73"/>
      <c r="D262" s="70"/>
      <c r="E262" s="16"/>
      <c r="G262" s="7"/>
    </row>
    <row r="263" spans="1:10" hidden="1" x14ac:dyDescent="0.2">
      <c r="A263" s="14" t="s">
        <v>189</v>
      </c>
      <c r="B263" s="15" t="s">
        <v>90</v>
      </c>
      <c r="C263" s="73"/>
      <c r="D263" s="16"/>
      <c r="E263" s="16"/>
      <c r="I263" s="72"/>
      <c r="J263" s="72"/>
    </row>
    <row r="264" spans="1:10" hidden="1" x14ac:dyDescent="0.2">
      <c r="A264" s="276" t="s">
        <v>288</v>
      </c>
      <c r="B264" s="15" t="s">
        <v>1</v>
      </c>
      <c r="C264" s="117"/>
      <c r="D264" s="16">
        <f>E261</f>
        <v>0</v>
      </c>
      <c r="E264" s="16">
        <f>C264*D264/100</f>
        <v>0</v>
      </c>
    </row>
    <row r="265" spans="1:10" ht="13.5" hidden="1" thickBot="1" x14ac:dyDescent="0.25">
      <c r="A265" s="245" t="s">
        <v>289</v>
      </c>
      <c r="B265" s="246" t="s">
        <v>6</v>
      </c>
      <c r="C265" s="246">
        <f>C262*12</f>
        <v>0</v>
      </c>
      <c r="D265" s="247">
        <f>IF(C263&lt;=C262,E264,0)</f>
        <v>0</v>
      </c>
      <c r="E265" s="247">
        <f>IFERROR(D265/C265,0)</f>
        <v>0</v>
      </c>
    </row>
    <row r="266" spans="1:10" ht="13.5" hidden="1" thickTop="1" x14ac:dyDescent="0.2">
      <c r="A266" s="100" t="s">
        <v>232</v>
      </c>
      <c r="B266" s="101"/>
      <c r="C266" s="101"/>
      <c r="D266" s="102"/>
      <c r="E266" s="103">
        <f>E265</f>
        <v>0</v>
      </c>
    </row>
    <row r="267" spans="1:10" ht="13.5" hidden="1" thickBot="1" x14ac:dyDescent="0.25">
      <c r="A267" s="89" t="s">
        <v>233</v>
      </c>
      <c r="B267" s="90" t="s">
        <v>8</v>
      </c>
      <c r="C267" s="243">
        <v>1</v>
      </c>
      <c r="D267" s="91">
        <f>E266</f>
        <v>0</v>
      </c>
      <c r="E267" s="103">
        <f>C267*D267</f>
        <v>0</v>
      </c>
    </row>
    <row r="268" spans="1:10" ht="13.5" hidden="1" thickBot="1" x14ac:dyDescent="0.25">
      <c r="A268" s="241"/>
      <c r="B268" s="241"/>
      <c r="C268" s="241"/>
      <c r="D268" s="105" t="s">
        <v>181</v>
      </c>
      <c r="E268" s="16">
        <f>$B$63</f>
        <v>1</v>
      </c>
      <c r="F268" s="19">
        <f>E267*E268</f>
        <v>0</v>
      </c>
    </row>
    <row r="269" spans="1:10" ht="11.25" hidden="1" customHeight="1" x14ac:dyDescent="0.2"/>
    <row r="270" spans="1:10" ht="13.5" hidden="1" thickBot="1" x14ac:dyDescent="0.25">
      <c r="A270" s="93" t="s">
        <v>290</v>
      </c>
    </row>
    <row r="271" spans="1:10" ht="13.5" hidden="1" thickBot="1" x14ac:dyDescent="0.25">
      <c r="A271" s="95" t="s">
        <v>53</v>
      </c>
      <c r="B271" s="96" t="s">
        <v>54</v>
      </c>
      <c r="C271" s="96" t="s">
        <v>33</v>
      </c>
      <c r="D271" s="53" t="s">
        <v>214</v>
      </c>
      <c r="E271" s="97" t="s">
        <v>55</v>
      </c>
      <c r="F271" s="54" t="s">
        <v>56</v>
      </c>
      <c r="I271" s="72"/>
      <c r="J271" s="72"/>
    </row>
    <row r="272" spans="1:10" hidden="1" x14ac:dyDescent="0.2">
      <c r="A272" s="14" t="s">
        <v>99</v>
      </c>
      <c r="B272" s="15" t="s">
        <v>8</v>
      </c>
      <c r="C272" s="242">
        <v>0</v>
      </c>
      <c r="D272" s="16">
        <f>D261</f>
        <v>0</v>
      </c>
      <c r="E272" s="16">
        <f>C272*D272</f>
        <v>0</v>
      </c>
      <c r="I272" s="72"/>
      <c r="J272" s="72"/>
    </row>
    <row r="273" spans="1:10" hidden="1" x14ac:dyDescent="0.2">
      <c r="A273" s="14" t="s">
        <v>193</v>
      </c>
      <c r="B273" s="15" t="s">
        <v>1</v>
      </c>
      <c r="C273" s="73"/>
      <c r="D273" s="16"/>
      <c r="E273" s="16"/>
      <c r="I273" s="72"/>
      <c r="J273" s="72"/>
    </row>
    <row r="274" spans="1:10" hidden="1" x14ac:dyDescent="0.2">
      <c r="A274" s="14" t="s">
        <v>191</v>
      </c>
      <c r="B274" s="15" t="s">
        <v>28</v>
      </c>
      <c r="C274" s="123">
        <f>IFERROR(IF(C263&lt;=C262,E261-(C264/(100*C262)*C263)*E261,E261-E264),0)</f>
        <v>0</v>
      </c>
      <c r="D274" s="16"/>
      <c r="E274" s="16"/>
      <c r="I274" s="72"/>
      <c r="J274" s="72"/>
    </row>
    <row r="275" spans="1:10" hidden="1" x14ac:dyDescent="0.2">
      <c r="A275" s="14" t="s">
        <v>104</v>
      </c>
      <c r="B275" s="15" t="s">
        <v>28</v>
      </c>
      <c r="C275" s="70">
        <f>IFERROR(IF(C263&gt;=C262,C274,((((C274)-(E261-E264))*(((C262-C263)+1)/(2*(C262-C263))))+(E261-E264))),0)</f>
        <v>0</v>
      </c>
      <c r="D275" s="16"/>
      <c r="E275" s="16"/>
      <c r="I275" s="72"/>
      <c r="J275" s="72"/>
    </row>
    <row r="276" spans="1:10" ht="13.5" hidden="1" thickBot="1" x14ac:dyDescent="0.25">
      <c r="A276" s="245" t="s">
        <v>105</v>
      </c>
      <c r="B276" s="246" t="s">
        <v>28</v>
      </c>
      <c r="C276" s="246"/>
      <c r="D276" s="248">
        <f>C273*C275/12/100</f>
        <v>0</v>
      </c>
      <c r="E276" s="247">
        <f>D276</f>
        <v>0</v>
      </c>
      <c r="I276" s="72"/>
      <c r="J276" s="72"/>
    </row>
    <row r="277" spans="1:10" ht="13.5" hidden="1" thickTop="1" x14ac:dyDescent="0.2">
      <c r="A277" s="100" t="s">
        <v>232</v>
      </c>
      <c r="B277" s="101"/>
      <c r="C277" s="101"/>
      <c r="D277" s="102"/>
      <c r="E277" s="103">
        <f>E276</f>
        <v>0</v>
      </c>
      <c r="I277" s="72"/>
      <c r="J277" s="72"/>
    </row>
    <row r="278" spans="1:10" ht="13.5" hidden="1" thickBot="1" x14ac:dyDescent="0.25">
      <c r="A278" s="89" t="s">
        <v>233</v>
      </c>
      <c r="B278" s="90" t="s">
        <v>8</v>
      </c>
      <c r="C278" s="243">
        <v>0</v>
      </c>
      <c r="D278" s="91">
        <f>E277</f>
        <v>0</v>
      </c>
      <c r="E278" s="103">
        <f>C278*D278</f>
        <v>0</v>
      </c>
      <c r="I278" s="72"/>
      <c r="J278" s="72"/>
    </row>
    <row r="279" spans="1:10" ht="13.5" hidden="1" thickBot="1" x14ac:dyDescent="0.25">
      <c r="C279" s="17"/>
      <c r="D279" s="105" t="s">
        <v>181</v>
      </c>
      <c r="E279" s="16">
        <f>$B$63</f>
        <v>1</v>
      </c>
      <c r="F279" s="19">
        <f>E278*E279</f>
        <v>0</v>
      </c>
      <c r="I279" s="72"/>
      <c r="J279" s="72"/>
    </row>
    <row r="280" spans="1:10" hidden="1" x14ac:dyDescent="0.2">
      <c r="C280" s="17"/>
      <c r="D280" s="105"/>
      <c r="E280" s="312"/>
      <c r="F280" s="26"/>
      <c r="I280" s="72"/>
      <c r="J280" s="72"/>
    </row>
    <row r="281" spans="1:10" ht="13.5" hidden="1" thickBot="1" x14ac:dyDescent="0.25">
      <c r="A281" s="5" t="s">
        <v>291</v>
      </c>
      <c r="I281" s="72"/>
      <c r="J281" s="72"/>
    </row>
    <row r="282" spans="1:10" ht="13.5" hidden="1" thickBot="1" x14ac:dyDescent="0.25">
      <c r="A282" s="51" t="s">
        <v>53</v>
      </c>
      <c r="B282" s="52" t="s">
        <v>54</v>
      </c>
      <c r="C282" s="52" t="s">
        <v>33</v>
      </c>
      <c r="D282" s="53" t="s">
        <v>214</v>
      </c>
      <c r="E282" s="53" t="s">
        <v>55</v>
      </c>
      <c r="F282" s="54" t="s">
        <v>56</v>
      </c>
      <c r="I282" s="72"/>
      <c r="J282" s="72"/>
    </row>
    <row r="283" spans="1:10" hidden="1" x14ac:dyDescent="0.2">
      <c r="A283" s="11" t="s">
        <v>9</v>
      </c>
      <c r="B283" s="12" t="s">
        <v>8</v>
      </c>
      <c r="C283" s="13">
        <v>0</v>
      </c>
      <c r="D283" s="13">
        <f>0.01*($E$261)</f>
        <v>0</v>
      </c>
      <c r="E283" s="13">
        <f>C283*D283</f>
        <v>0</v>
      </c>
      <c r="I283" s="72"/>
      <c r="J283" s="72"/>
    </row>
    <row r="284" spans="1:10" hidden="1" x14ac:dyDescent="0.2">
      <c r="A284" s="14" t="s">
        <v>180</v>
      </c>
      <c r="B284" s="15" t="s">
        <v>8</v>
      </c>
      <c r="C284" s="13">
        <v>0</v>
      </c>
      <c r="D284" s="75"/>
      <c r="E284" s="16">
        <f>C284*D284</f>
        <v>0</v>
      </c>
      <c r="I284" s="72"/>
      <c r="J284" s="72"/>
    </row>
    <row r="285" spans="1:10" ht="13.5" hidden="1" thickBot="1" x14ac:dyDescent="0.25">
      <c r="A285" s="89" t="s">
        <v>10</v>
      </c>
      <c r="B285" s="90" t="s">
        <v>6</v>
      </c>
      <c r="C285" s="90">
        <v>12</v>
      </c>
      <c r="D285" s="91">
        <f>SUM(E283:E284)</f>
        <v>0</v>
      </c>
      <c r="E285" s="91">
        <f>D285/C285</f>
        <v>0</v>
      </c>
      <c r="I285" s="72"/>
      <c r="J285" s="72"/>
    </row>
    <row r="286" spans="1:10" ht="13.5" hidden="1" thickBot="1" x14ac:dyDescent="0.25">
      <c r="D286" s="105" t="s">
        <v>181</v>
      </c>
      <c r="E286" s="16">
        <f>$B$63</f>
        <v>1</v>
      </c>
      <c r="F286" s="106">
        <f>E285*E286</f>
        <v>0</v>
      </c>
      <c r="I286" s="72"/>
      <c r="J286" s="72"/>
    </row>
    <row r="287" spans="1:10" ht="11.25" hidden="1" customHeight="1" x14ac:dyDescent="0.2">
      <c r="I287" s="72"/>
      <c r="J287" s="72"/>
    </row>
    <row r="288" spans="1:10" hidden="1" x14ac:dyDescent="0.2">
      <c r="A288" s="5" t="s">
        <v>296</v>
      </c>
      <c r="B288" s="25"/>
      <c r="I288" s="72"/>
      <c r="J288" s="72"/>
    </row>
    <row r="289" spans="1:10" hidden="1" x14ac:dyDescent="0.2">
      <c r="B289" s="25"/>
      <c r="I289" s="72"/>
      <c r="J289" s="72"/>
    </row>
    <row r="290" spans="1:10" hidden="1" x14ac:dyDescent="0.2">
      <c r="A290" s="89" t="s">
        <v>108</v>
      </c>
      <c r="B290" s="334">
        <v>0</v>
      </c>
      <c r="I290" s="72"/>
      <c r="J290" s="72"/>
    </row>
    <row r="291" spans="1:10" ht="13.5" hidden="1" thickBot="1" x14ac:dyDescent="0.25">
      <c r="B291" s="25"/>
      <c r="I291" s="72"/>
      <c r="J291" s="72"/>
    </row>
    <row r="292" spans="1:10" ht="13.5" hidden="1" thickBot="1" x14ac:dyDescent="0.25">
      <c r="A292" s="51" t="s">
        <v>53</v>
      </c>
      <c r="B292" s="52" t="s">
        <v>54</v>
      </c>
      <c r="C292" s="52" t="s">
        <v>231</v>
      </c>
      <c r="D292" s="53" t="s">
        <v>214</v>
      </c>
      <c r="E292" s="53" t="s">
        <v>55</v>
      </c>
      <c r="F292" s="54" t="s">
        <v>56</v>
      </c>
      <c r="I292" s="72"/>
      <c r="J292" s="72"/>
    </row>
    <row r="293" spans="1:10" hidden="1" x14ac:dyDescent="0.2">
      <c r="A293" s="270" t="s">
        <v>294</v>
      </c>
      <c r="B293" s="12" t="s">
        <v>12</v>
      </c>
      <c r="C293" s="83"/>
      <c r="D293" s="84"/>
      <c r="E293" s="13"/>
      <c r="I293" s="72"/>
      <c r="J293" s="72"/>
    </row>
    <row r="294" spans="1:10" hidden="1" x14ac:dyDescent="0.2">
      <c r="A294" s="276" t="s">
        <v>295</v>
      </c>
      <c r="B294" s="15" t="s">
        <v>14</v>
      </c>
      <c r="C294" s="80">
        <f>B290</f>
        <v>0</v>
      </c>
      <c r="D294" s="240" t="str">
        <f>IFERROR(+D293/C293,"-")</f>
        <v>-</v>
      </c>
      <c r="E294" s="16" t="str">
        <f>IFERROR(C294*D294,"-")</f>
        <v>-</v>
      </c>
      <c r="I294" s="72"/>
      <c r="J294" s="72"/>
    </row>
    <row r="295" spans="1:10" ht="13.5" hidden="1" thickBot="1" x14ac:dyDescent="0.25">
      <c r="A295" s="89" t="s">
        <v>230</v>
      </c>
      <c r="B295" s="90" t="s">
        <v>109</v>
      </c>
      <c r="C295" s="238"/>
      <c r="D295" s="239">
        <f>IFERROR(D294+#REF!+#REF!+#REF!+#REF!,0)</f>
        <v>0</v>
      </c>
      <c r="E295" s="16"/>
      <c r="G295" s="98"/>
      <c r="H295" s="44"/>
      <c r="I295" s="72"/>
      <c r="J295" s="72"/>
    </row>
    <row r="296" spans="1:10" ht="13.5" hidden="1" thickBot="1" x14ac:dyDescent="0.25">
      <c r="F296" s="19">
        <f>SUM(E293:E294)</f>
        <v>0</v>
      </c>
      <c r="I296" s="72"/>
      <c r="J296" s="72"/>
    </row>
    <row r="297" spans="1:10" ht="11.25" hidden="1" customHeight="1" x14ac:dyDescent="0.2">
      <c r="I297" s="72"/>
      <c r="J297" s="72"/>
    </row>
    <row r="298" spans="1:10" ht="13.5" hidden="1" thickBot="1" x14ac:dyDescent="0.25">
      <c r="A298" s="5" t="s">
        <v>292</v>
      </c>
      <c r="I298" s="72"/>
      <c r="J298" s="72"/>
    </row>
    <row r="299" spans="1:10" ht="13.5" hidden="1" thickBot="1" x14ac:dyDescent="0.25">
      <c r="A299" s="51" t="s">
        <v>53</v>
      </c>
      <c r="B299" s="52" t="s">
        <v>54</v>
      </c>
      <c r="C299" s="52" t="s">
        <v>33</v>
      </c>
      <c r="D299" s="53" t="s">
        <v>214</v>
      </c>
      <c r="E299" s="53" t="s">
        <v>55</v>
      </c>
      <c r="F299" s="54" t="s">
        <v>56</v>
      </c>
      <c r="I299" s="72"/>
      <c r="J299" s="72"/>
    </row>
    <row r="300" spans="1:10" ht="13.5" hidden="1" thickBot="1" x14ac:dyDescent="0.25">
      <c r="A300" s="270" t="s">
        <v>297</v>
      </c>
      <c r="B300" s="12" t="s">
        <v>109</v>
      </c>
      <c r="C300" s="80">
        <f>C294</f>
        <v>0</v>
      </c>
      <c r="D300" s="319"/>
      <c r="E300" s="13">
        <f>C300*D300</f>
        <v>0</v>
      </c>
      <c r="I300" s="72"/>
      <c r="J300" s="72"/>
    </row>
    <row r="301" spans="1:10" ht="13.5" hidden="1" thickBot="1" x14ac:dyDescent="0.25">
      <c r="A301" s="5"/>
      <c r="F301" s="19">
        <f>E300</f>
        <v>0</v>
      </c>
      <c r="I301" s="72"/>
      <c r="J301" s="72"/>
    </row>
    <row r="302" spans="1:10" ht="11.25" hidden="1" customHeight="1" x14ac:dyDescent="0.2">
      <c r="I302" s="72"/>
      <c r="J302" s="72"/>
    </row>
    <row r="303" spans="1:10" ht="13.5" hidden="1" thickBot="1" x14ac:dyDescent="0.25">
      <c r="A303" s="5" t="s">
        <v>293</v>
      </c>
      <c r="I303" s="72"/>
      <c r="J303" s="72"/>
    </row>
    <row r="304" spans="1:10" ht="13.5" hidden="1" thickBot="1" x14ac:dyDescent="0.25">
      <c r="A304" s="51" t="s">
        <v>53</v>
      </c>
      <c r="B304" s="52" t="s">
        <v>54</v>
      </c>
      <c r="C304" s="52" t="s">
        <v>33</v>
      </c>
      <c r="D304" s="53" t="s">
        <v>214</v>
      </c>
      <c r="E304" s="53" t="s">
        <v>55</v>
      </c>
      <c r="F304" s="54" t="s">
        <v>56</v>
      </c>
      <c r="I304" s="72"/>
      <c r="J304" s="72"/>
    </row>
    <row r="305" spans="1:10" hidden="1" x14ac:dyDescent="0.2">
      <c r="A305" s="11" t="s">
        <v>86</v>
      </c>
      <c r="B305" s="12" t="s">
        <v>8</v>
      </c>
      <c r="C305" s="82"/>
      <c r="D305" s="74"/>
      <c r="E305" s="13">
        <f>C305*D305</f>
        <v>0</v>
      </c>
      <c r="I305" s="72"/>
      <c r="J305" s="72"/>
    </row>
    <row r="306" spans="1:10" hidden="1" x14ac:dyDescent="0.2">
      <c r="A306" s="276" t="s">
        <v>298</v>
      </c>
      <c r="B306" s="15" t="s">
        <v>22</v>
      </c>
      <c r="C306" s="85"/>
      <c r="D306" s="16">
        <f>E305</f>
        <v>0</v>
      </c>
      <c r="E306" s="16" t="str">
        <f>IFERROR(D306/C306,"-")</f>
        <v>-</v>
      </c>
      <c r="I306" s="72"/>
      <c r="J306" s="72"/>
    </row>
    <row r="307" spans="1:10" ht="13.5" hidden="1" thickBot="1" x14ac:dyDescent="0.25">
      <c r="A307" s="14" t="s">
        <v>45</v>
      </c>
      <c r="B307" s="15" t="s">
        <v>14</v>
      </c>
      <c r="C307" s="80">
        <f>B290</f>
        <v>0</v>
      </c>
      <c r="D307" s="16" t="str">
        <f>E306</f>
        <v>-</v>
      </c>
      <c r="E307" s="16">
        <f>IFERROR(C307*D307,0)</f>
        <v>0</v>
      </c>
      <c r="I307" s="72"/>
      <c r="J307" s="72"/>
    </row>
    <row r="308" spans="1:10" ht="13.5" hidden="1" thickBot="1" x14ac:dyDescent="0.25">
      <c r="F308" s="19">
        <f>E307</f>
        <v>0</v>
      </c>
      <c r="I308" s="72"/>
      <c r="J308" s="72"/>
    </row>
    <row r="309" spans="1:10" ht="11.25" hidden="1" customHeight="1" x14ac:dyDescent="0.2">
      <c r="I309" s="72"/>
      <c r="J309" s="72"/>
    </row>
    <row r="310" spans="1:10" ht="11.25" customHeight="1" thickBot="1" x14ac:dyDescent="0.25">
      <c r="G310" s="7"/>
    </row>
    <row r="311" spans="1:10" ht="13.5" thickBot="1" x14ac:dyDescent="0.25">
      <c r="A311" s="20" t="s">
        <v>202</v>
      </c>
      <c r="B311" s="21"/>
      <c r="C311" s="21"/>
      <c r="D311" s="22"/>
      <c r="E311" s="292"/>
      <c r="F311" s="19">
        <f>+SUM(F183:F310)</f>
        <v>0</v>
      </c>
      <c r="G311" s="7"/>
    </row>
    <row r="312" spans="1:10" ht="11.25" customHeight="1" x14ac:dyDescent="0.2">
      <c r="G312" s="7"/>
    </row>
    <row r="313" spans="1:10" x14ac:dyDescent="0.2">
      <c r="A313" s="27" t="s">
        <v>64</v>
      </c>
      <c r="B313" s="27"/>
      <c r="C313" s="27"/>
      <c r="D313" s="28"/>
      <c r="E313" s="295"/>
      <c r="F313" s="26"/>
      <c r="G313" s="7"/>
    </row>
    <row r="314" spans="1:10" ht="11.25" customHeight="1" thickBot="1" x14ac:dyDescent="0.25">
      <c r="G314" s="7"/>
    </row>
    <row r="315" spans="1:10" ht="24.75" thickBot="1" x14ac:dyDescent="0.25">
      <c r="A315" s="51" t="s">
        <v>53</v>
      </c>
      <c r="B315" s="52" t="s">
        <v>33</v>
      </c>
      <c r="C315" s="236" t="s">
        <v>229</v>
      </c>
      <c r="D315" s="53" t="s">
        <v>214</v>
      </c>
      <c r="E315" s="53" t="s">
        <v>55</v>
      </c>
      <c r="F315" s="54" t="s">
        <v>56</v>
      </c>
      <c r="G315" s="7"/>
    </row>
    <row r="316" spans="1:10" hidden="1" x14ac:dyDescent="0.2">
      <c r="A316" s="276" t="s">
        <v>61</v>
      </c>
      <c r="B316" s="15">
        <v>3</v>
      </c>
      <c r="C316" s="87"/>
      <c r="D316" s="74"/>
      <c r="E316" s="16">
        <f>B316*C316*D316</f>
        <v>0</v>
      </c>
      <c r="F316" s="47"/>
      <c r="G316" s="7"/>
    </row>
    <row r="317" spans="1:10" hidden="1" x14ac:dyDescent="0.2">
      <c r="A317" s="276" t="s">
        <v>23</v>
      </c>
      <c r="B317" s="15">
        <v>3</v>
      </c>
      <c r="C317" s="87"/>
      <c r="D317" s="74"/>
      <c r="E317" s="16">
        <f t="shared" ref="E317:E324" si="5">B317*C317*D317</f>
        <v>0</v>
      </c>
      <c r="F317" s="47"/>
      <c r="G317" s="7"/>
    </row>
    <row r="318" spans="1:10" hidden="1" x14ac:dyDescent="0.2">
      <c r="A318" s="276" t="s">
        <v>302</v>
      </c>
      <c r="B318" s="15">
        <v>5</v>
      </c>
      <c r="C318" s="87"/>
      <c r="D318" s="74"/>
      <c r="E318" s="16">
        <f>B318*C318*D318</f>
        <v>0</v>
      </c>
      <c r="F318" s="47"/>
      <c r="G318" s="7"/>
    </row>
    <row r="319" spans="1:10" hidden="1" x14ac:dyDescent="0.2">
      <c r="A319" s="276" t="s">
        <v>306</v>
      </c>
      <c r="B319" s="15">
        <v>3</v>
      </c>
      <c r="C319" s="87"/>
      <c r="D319" s="74"/>
      <c r="E319" s="16">
        <f t="shared" si="5"/>
        <v>0</v>
      </c>
      <c r="F319" s="47"/>
      <c r="G319" s="7"/>
    </row>
    <row r="320" spans="1:10" hidden="1" x14ac:dyDescent="0.2">
      <c r="A320" s="276" t="s">
        <v>303</v>
      </c>
      <c r="B320" s="15">
        <v>3</v>
      </c>
      <c r="C320" s="87"/>
      <c r="D320" s="330"/>
      <c r="E320" s="16">
        <f t="shared" si="5"/>
        <v>0</v>
      </c>
      <c r="F320" s="47"/>
      <c r="G320" s="7"/>
    </row>
    <row r="321" spans="1:7" hidden="1" x14ac:dyDescent="0.2">
      <c r="A321" s="276" t="s">
        <v>305</v>
      </c>
      <c r="B321" s="15">
        <v>3</v>
      </c>
      <c r="C321" s="87"/>
      <c r="D321" s="74"/>
      <c r="E321" s="16">
        <f t="shared" si="5"/>
        <v>0</v>
      </c>
      <c r="F321" s="47"/>
      <c r="G321" s="7"/>
    </row>
    <row r="322" spans="1:7" hidden="1" x14ac:dyDescent="0.2">
      <c r="A322" s="276" t="s">
        <v>304</v>
      </c>
      <c r="B322" s="15">
        <v>330</v>
      </c>
      <c r="C322" s="335">
        <v>1</v>
      </c>
      <c r="D322" s="74"/>
      <c r="E322" s="16">
        <f t="shared" si="5"/>
        <v>0</v>
      </c>
      <c r="F322" s="47"/>
      <c r="G322" s="7"/>
    </row>
    <row r="323" spans="1:7" hidden="1" x14ac:dyDescent="0.2">
      <c r="A323" s="14" t="s">
        <v>47</v>
      </c>
      <c r="B323" s="15">
        <v>2</v>
      </c>
      <c r="C323" s="87"/>
      <c r="D323" s="74"/>
      <c r="E323" s="16">
        <f t="shared" si="5"/>
        <v>0</v>
      </c>
      <c r="F323" s="47"/>
      <c r="G323" s="7"/>
    </row>
    <row r="324" spans="1:7" ht="13.5" thickBot="1" x14ac:dyDescent="0.25">
      <c r="A324" s="14" t="s">
        <v>50</v>
      </c>
      <c r="B324" s="15">
        <v>3</v>
      </c>
      <c r="C324" s="87"/>
      <c r="D324" s="74"/>
      <c r="E324" s="16">
        <f t="shared" si="5"/>
        <v>0</v>
      </c>
      <c r="F324" s="47"/>
      <c r="G324" s="7"/>
    </row>
    <row r="325" spans="1:7" ht="13.5" thickBot="1" x14ac:dyDescent="0.25">
      <c r="A325" s="27"/>
      <c r="B325" s="27"/>
      <c r="C325" s="27"/>
      <c r="D325" s="27"/>
      <c r="E325" s="295"/>
      <c r="F325" s="19">
        <f>SUM(E316:E324)</f>
        <v>0</v>
      </c>
      <c r="G325" s="7"/>
    </row>
    <row r="326" spans="1:7" ht="11.25" customHeight="1" thickBot="1" x14ac:dyDescent="0.25">
      <c r="G326" s="7"/>
    </row>
    <row r="327" spans="1:7" ht="13.5" thickBot="1" x14ac:dyDescent="0.25">
      <c r="A327" s="20" t="s">
        <v>203</v>
      </c>
      <c r="B327" s="21"/>
      <c r="C327" s="21"/>
      <c r="D327" s="22"/>
      <c r="E327" s="292"/>
      <c r="F327" s="19">
        <f>+F325</f>
        <v>0</v>
      </c>
      <c r="G327" s="7"/>
    </row>
    <row r="328" spans="1:7" ht="11.25" customHeight="1" x14ac:dyDescent="0.2">
      <c r="G328" s="7"/>
    </row>
    <row r="329" spans="1:7" x14ac:dyDescent="0.2">
      <c r="A329" s="27" t="s">
        <v>65</v>
      </c>
      <c r="B329" s="27"/>
      <c r="C329" s="27"/>
      <c r="D329" s="28"/>
      <c r="E329" s="295"/>
      <c r="F329" s="26"/>
    </row>
    <row r="330" spans="1:7" ht="11.25" customHeight="1" thickBot="1" x14ac:dyDescent="0.25"/>
    <row r="331" spans="1:7" ht="13.5" thickBot="1" x14ac:dyDescent="0.25">
      <c r="A331" s="51" t="s">
        <v>53</v>
      </c>
      <c r="B331" s="52" t="s">
        <v>54</v>
      </c>
      <c r="C331" s="52" t="s">
        <v>33</v>
      </c>
      <c r="D331" s="53" t="s">
        <v>214</v>
      </c>
      <c r="E331" s="53" t="s">
        <v>55</v>
      </c>
      <c r="F331" s="54" t="s">
        <v>56</v>
      </c>
    </row>
    <row r="332" spans="1:7" x14ac:dyDescent="0.2">
      <c r="A332" s="14" t="s">
        <v>200</v>
      </c>
      <c r="B332" s="45" t="s">
        <v>48</v>
      </c>
      <c r="C332" s="60">
        <v>2</v>
      </c>
      <c r="D332" s="75"/>
      <c r="E332" s="16">
        <f>+D332*C332</f>
        <v>0</v>
      </c>
      <c r="F332" s="47"/>
    </row>
    <row r="333" spans="1:7" x14ac:dyDescent="0.2">
      <c r="A333" s="14" t="s">
        <v>51</v>
      </c>
      <c r="B333" s="45" t="s">
        <v>6</v>
      </c>
      <c r="C333" s="128">
        <v>60</v>
      </c>
      <c r="D333" s="67">
        <f>SUM(E332:E332)</f>
        <v>0</v>
      </c>
      <c r="E333" s="67">
        <f>+D333/C333</f>
        <v>0</v>
      </c>
      <c r="F333" s="47"/>
    </row>
    <row r="334" spans="1:7" x14ac:dyDescent="0.2">
      <c r="A334" s="14" t="s">
        <v>201</v>
      </c>
      <c r="B334" s="15" t="s">
        <v>8</v>
      </c>
      <c r="C334" s="60">
        <f>+C332</f>
        <v>2</v>
      </c>
      <c r="D334" s="75"/>
      <c r="E334" s="16">
        <f>C334*D334</f>
        <v>0</v>
      </c>
      <c r="F334" s="47"/>
    </row>
    <row r="335" spans="1:7" ht="13.5" thickBot="1" x14ac:dyDescent="0.25">
      <c r="A335" s="14" t="s">
        <v>30</v>
      </c>
      <c r="B335" s="45" t="s">
        <v>6</v>
      </c>
      <c r="C335" s="128">
        <v>1</v>
      </c>
      <c r="D335" s="67">
        <f>+E334</f>
        <v>0</v>
      </c>
      <c r="E335" s="67">
        <f>+D335/C335</f>
        <v>0</v>
      </c>
      <c r="F335" s="47"/>
    </row>
    <row r="336" spans="1:7" ht="13.5" thickBot="1" x14ac:dyDescent="0.25">
      <c r="A336" s="68"/>
      <c r="B336" s="68"/>
      <c r="C336" s="68"/>
      <c r="D336" s="105" t="s">
        <v>181</v>
      </c>
      <c r="E336" s="16">
        <f>$B$63</f>
        <v>1</v>
      </c>
      <c r="F336" s="69">
        <f>(E333+E335)*E336</f>
        <v>0</v>
      </c>
    </row>
    <row r="337" spans="1:7" s="43" customFormat="1" ht="11.25" customHeight="1" thickBot="1" x14ac:dyDescent="0.25">
      <c r="A337" s="7"/>
      <c r="B337" s="7"/>
      <c r="C337" s="7"/>
      <c r="D337" s="8"/>
      <c r="E337" s="18"/>
      <c r="F337" s="18"/>
      <c r="G337" s="71"/>
    </row>
    <row r="338" spans="1:7" ht="13.5" thickBot="1" x14ac:dyDescent="0.25">
      <c r="A338" s="20" t="s">
        <v>199</v>
      </c>
      <c r="B338" s="21"/>
      <c r="C338" s="21"/>
      <c r="D338" s="22"/>
      <c r="E338" s="292"/>
      <c r="F338" s="19">
        <f>+F336</f>
        <v>0</v>
      </c>
    </row>
    <row r="339" spans="1:7" ht="11.25" customHeight="1" thickBot="1" x14ac:dyDescent="0.25"/>
    <row r="340" spans="1:7" ht="17.25" customHeight="1" thickBot="1" x14ac:dyDescent="0.25">
      <c r="A340" s="20" t="s">
        <v>204</v>
      </c>
      <c r="B340" s="23"/>
      <c r="C340" s="23"/>
      <c r="D340" s="24"/>
      <c r="E340" s="294"/>
      <c r="F340" s="19">
        <f>+F143+F175+F311+F327+F338</f>
        <v>0</v>
      </c>
    </row>
    <row r="341" spans="1:7" ht="11.25" customHeight="1" x14ac:dyDescent="0.2"/>
    <row r="342" spans="1:7" x14ac:dyDescent="0.2">
      <c r="A342" s="9" t="s">
        <v>80</v>
      </c>
    </row>
    <row r="343" spans="1:7" ht="11.25" customHeight="1" thickBot="1" x14ac:dyDescent="0.25"/>
    <row r="344" spans="1:7" ht="13.5" thickBot="1" x14ac:dyDescent="0.25">
      <c r="A344" s="51" t="s">
        <v>53</v>
      </c>
      <c r="B344" s="52" t="s">
        <v>54</v>
      </c>
      <c r="C344" s="52" t="s">
        <v>33</v>
      </c>
      <c r="D344" s="53" t="s">
        <v>214</v>
      </c>
      <c r="E344" s="53" t="s">
        <v>55</v>
      </c>
      <c r="F344" s="54" t="s">
        <v>56</v>
      </c>
    </row>
    <row r="345" spans="1:7" ht="13.5" thickBot="1" x14ac:dyDescent="0.25">
      <c r="A345" s="11" t="s">
        <v>29</v>
      </c>
      <c r="B345" s="12" t="s">
        <v>1</v>
      </c>
      <c r="C345" s="117">
        <f>'4.BDI'!C17*100</f>
        <v>0</v>
      </c>
      <c r="D345" s="13">
        <f>+F340</f>
        <v>0</v>
      </c>
      <c r="E345" s="13">
        <f>C345*D345/100</f>
        <v>0</v>
      </c>
    </row>
    <row r="346" spans="1:7" ht="13.5" thickBot="1" x14ac:dyDescent="0.25">
      <c r="F346" s="19">
        <f>+E345</f>
        <v>0</v>
      </c>
    </row>
    <row r="347" spans="1:7" ht="11.25" customHeight="1" thickBot="1" x14ac:dyDescent="0.25"/>
    <row r="348" spans="1:7" ht="13.5" thickBot="1" x14ac:dyDescent="0.25">
      <c r="A348" s="20" t="s">
        <v>219</v>
      </c>
      <c r="B348" s="23"/>
      <c r="C348" s="23"/>
      <c r="D348" s="24"/>
      <c r="E348" s="294"/>
      <c r="F348" s="19">
        <f>F346</f>
        <v>0</v>
      </c>
    </row>
    <row r="349" spans="1:7" x14ac:dyDescent="0.2">
      <c r="A349" s="27"/>
      <c r="B349" s="27"/>
      <c r="C349" s="27"/>
      <c r="D349" s="28"/>
      <c r="E349" s="295"/>
      <c r="F349" s="26"/>
    </row>
    <row r="350" spans="1:7" ht="11.25" customHeight="1" thickBot="1" x14ac:dyDescent="0.25"/>
    <row r="351" spans="1:7" ht="24.75" customHeight="1" thickBot="1" x14ac:dyDescent="0.25">
      <c r="A351" s="20" t="s">
        <v>205</v>
      </c>
      <c r="B351" s="23"/>
      <c r="C351" s="23"/>
      <c r="D351" s="24"/>
      <c r="E351" s="294"/>
      <c r="F351" s="331">
        <f>F340+F348</f>
        <v>0</v>
      </c>
    </row>
    <row r="352" spans="1:7" ht="12.6" customHeight="1" x14ac:dyDescent="0.2">
      <c r="A352" s="48"/>
      <c r="B352" s="48"/>
      <c r="C352" s="48"/>
      <c r="D352" s="49"/>
      <c r="E352" s="296"/>
      <c r="F352" s="296"/>
    </row>
    <row r="353" spans="1:8" ht="14.25" x14ac:dyDescent="0.2">
      <c r="A353" s="6"/>
      <c r="B353" s="6"/>
      <c r="C353" s="6"/>
      <c r="D353" s="29"/>
      <c r="E353" s="297"/>
    </row>
    <row r="354" spans="1:8" ht="16.149999999999999" customHeight="1" x14ac:dyDescent="0.2">
      <c r="A354" s="277" t="s">
        <v>274</v>
      </c>
      <c r="B354" s="225"/>
      <c r="C354" s="225"/>
      <c r="D354" s="336">
        <v>180</v>
      </c>
      <c r="E354" s="298" t="s">
        <v>236</v>
      </c>
    </row>
    <row r="355" spans="1:8" ht="13.5" thickBot="1" x14ac:dyDescent="0.25"/>
    <row r="356" spans="1:8" ht="25.5" customHeight="1" thickBot="1" x14ac:dyDescent="0.25">
      <c r="A356" s="20" t="s">
        <v>269</v>
      </c>
      <c r="B356" s="21"/>
      <c r="C356" s="21"/>
      <c r="D356" s="22"/>
      <c r="E356" s="292" t="s">
        <v>273</v>
      </c>
      <c r="F356" s="19">
        <f>IFERROR(F351/D354,"-")</f>
        <v>0</v>
      </c>
    </row>
    <row r="357" spans="1:8" ht="12.6" customHeight="1" x14ac:dyDescent="0.2">
      <c r="A357" s="27"/>
      <c r="B357" s="27"/>
      <c r="C357" s="27"/>
      <c r="D357" s="28"/>
      <c r="E357" s="295"/>
      <c r="F357" s="295"/>
    </row>
    <row r="358" spans="1:8" s="3" customFormat="1" ht="9.75" customHeight="1" x14ac:dyDescent="0.2">
      <c r="A358" s="32"/>
      <c r="B358" s="8"/>
      <c r="C358" s="8"/>
      <c r="D358" s="8"/>
      <c r="E358" s="18"/>
      <c r="F358" s="18"/>
      <c r="G358" s="4"/>
    </row>
    <row r="359" spans="1:8" s="3" customFormat="1" ht="9.75" customHeight="1" x14ac:dyDescent="0.2">
      <c r="A359" s="32"/>
      <c r="B359" s="8"/>
      <c r="C359" s="8"/>
      <c r="D359" s="8"/>
      <c r="E359" s="332"/>
      <c r="F359" s="18"/>
      <c r="G359" s="4"/>
    </row>
    <row r="360" spans="1:8" s="3" customFormat="1" ht="9.75" customHeight="1" x14ac:dyDescent="0.2">
      <c r="A360" s="32"/>
      <c r="B360" s="8"/>
      <c r="C360" s="8"/>
      <c r="D360" s="8"/>
      <c r="E360" s="18"/>
      <c r="F360" s="18"/>
      <c r="G360" s="4"/>
      <c r="H360" s="3" t="s">
        <v>270</v>
      </c>
    </row>
    <row r="390" spans="4:7" ht="9" customHeight="1" x14ac:dyDescent="0.2">
      <c r="D390" s="7"/>
      <c r="E390" s="17"/>
      <c r="F390" s="17"/>
      <c r="G390" s="7"/>
    </row>
  </sheetData>
  <mergeCells count="7">
    <mergeCell ref="A58:D58"/>
    <mergeCell ref="A27:C27"/>
    <mergeCell ref="A13:F13"/>
    <mergeCell ref="A14:F14"/>
    <mergeCell ref="A51:D51"/>
    <mergeCell ref="A16:F16"/>
    <mergeCell ref="A50:E50"/>
  </mergeCells>
  <phoneticPr fontId="9" type="noConversion"/>
  <hyperlinks>
    <hyperlink ref="A197" location="AbaRemun" display="3.1.2. Remuneração do Capital"/>
    <hyperlink ref="A181" location="AbaDeprec" display="3.1.1. Depreciação"/>
    <hyperlink ref="A270" location="AbaRemun" display="3.1.2. Remuneração do Capital"/>
    <hyperlink ref="A259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4" fitToHeight="0" orientation="portrait" r:id="rId1"/>
  <headerFooter alignWithMargins="0">
    <oddFooter>&amp;R&amp;P de &amp;N</oddFooter>
  </headerFooter>
  <rowBreaks count="4" manualBreakCount="4">
    <brk id="64" max="5" man="1"/>
    <brk id="122" max="5" man="1"/>
    <brk id="176" max="5" man="1"/>
    <brk id="247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selection activeCell="D9" sqref="D9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31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9" t="s">
        <v>187</v>
      </c>
    </row>
    <row r="2" spans="1:12" x14ac:dyDescent="0.2">
      <c r="A2" s="116" t="s">
        <v>225</v>
      </c>
    </row>
    <row r="3" spans="1:12" s="3" customFormat="1" ht="15.6" customHeight="1" x14ac:dyDescent="0.2">
      <c r="A3" s="267" t="s">
        <v>309</v>
      </c>
      <c r="B3" s="115"/>
      <c r="C3" s="115"/>
      <c r="D3" s="115"/>
      <c r="E3" s="115"/>
      <c r="F3" s="115"/>
      <c r="G3" s="4"/>
    </row>
    <row r="4" spans="1:12" ht="13.5" thickBot="1" x14ac:dyDescent="0.25"/>
    <row r="5" spans="1:12" ht="18" x14ac:dyDescent="0.2">
      <c r="A5" s="356" t="s">
        <v>208</v>
      </c>
      <c r="B5" s="357"/>
      <c r="C5" s="358"/>
      <c r="D5" s="124"/>
      <c r="E5" s="124"/>
      <c r="F5" s="124"/>
    </row>
    <row r="6" spans="1:12" ht="14.25" x14ac:dyDescent="0.2">
      <c r="A6" s="142" t="s">
        <v>127</v>
      </c>
      <c r="B6" s="143" t="s">
        <v>128</v>
      </c>
      <c r="C6" s="144" t="s">
        <v>129</v>
      </c>
      <c r="D6" s="145"/>
    </row>
    <row r="7" spans="1:12" ht="14.25" x14ac:dyDescent="0.2">
      <c r="A7" s="142" t="s">
        <v>130</v>
      </c>
      <c r="B7" s="143" t="s">
        <v>34</v>
      </c>
      <c r="C7" s="146">
        <v>0.2</v>
      </c>
      <c r="D7" s="145"/>
      <c r="F7" s="131"/>
      <c r="G7" s="131"/>
      <c r="H7" s="131"/>
      <c r="I7" s="131"/>
      <c r="J7" s="131"/>
      <c r="K7" s="131"/>
      <c r="L7" s="131"/>
    </row>
    <row r="8" spans="1:12" ht="14.25" x14ac:dyDescent="0.2">
      <c r="A8" s="142" t="s">
        <v>131</v>
      </c>
      <c r="B8" s="143" t="s">
        <v>132</v>
      </c>
      <c r="C8" s="146">
        <v>1.4999999999999999E-2</v>
      </c>
      <c r="D8" s="145"/>
      <c r="F8" s="131"/>
      <c r="G8" s="131"/>
      <c r="H8" s="131"/>
      <c r="I8" s="131"/>
      <c r="J8" s="131"/>
      <c r="K8" s="131"/>
      <c r="L8" s="131"/>
    </row>
    <row r="9" spans="1:12" ht="14.25" x14ac:dyDescent="0.2">
      <c r="A9" s="142" t="s">
        <v>133</v>
      </c>
      <c r="B9" s="143" t="s">
        <v>134</v>
      </c>
      <c r="C9" s="146">
        <v>0.01</v>
      </c>
      <c r="D9" s="145"/>
      <c r="F9" s="131"/>
      <c r="G9" s="131"/>
      <c r="H9" s="131"/>
      <c r="I9" s="131"/>
      <c r="J9" s="131"/>
      <c r="K9" s="131"/>
      <c r="L9" s="131"/>
    </row>
    <row r="10" spans="1:12" ht="14.25" x14ac:dyDescent="0.2">
      <c r="A10" s="142" t="s">
        <v>135</v>
      </c>
      <c r="B10" s="143" t="s">
        <v>136</v>
      </c>
      <c r="C10" s="146">
        <v>2E-3</v>
      </c>
      <c r="D10" s="145"/>
      <c r="F10" s="131"/>
      <c r="G10" s="131"/>
      <c r="H10" s="131"/>
      <c r="I10" s="131"/>
      <c r="J10" s="131"/>
      <c r="K10" s="131"/>
      <c r="L10" s="131"/>
    </row>
    <row r="11" spans="1:12" ht="14.25" x14ac:dyDescent="0.2">
      <c r="A11" s="142" t="s">
        <v>137</v>
      </c>
      <c r="B11" s="143" t="s">
        <v>138</v>
      </c>
      <c r="C11" s="146">
        <v>6.0000000000000001E-3</v>
      </c>
      <c r="D11" s="145"/>
      <c r="F11" s="131"/>
      <c r="G11" s="131"/>
      <c r="H11" s="131"/>
      <c r="I11" s="131"/>
      <c r="J11" s="131"/>
      <c r="K11" s="131"/>
      <c r="L11" s="131"/>
    </row>
    <row r="12" spans="1:12" ht="14.25" x14ac:dyDescent="0.2">
      <c r="A12" s="142" t="s">
        <v>139</v>
      </c>
      <c r="B12" s="143" t="s">
        <v>140</v>
      </c>
      <c r="C12" s="146">
        <v>2.5000000000000001E-2</v>
      </c>
      <c r="D12" s="145"/>
      <c r="F12" s="131"/>
      <c r="G12" s="131"/>
      <c r="H12" s="131"/>
      <c r="I12" s="131"/>
      <c r="J12" s="131"/>
      <c r="K12" s="131"/>
      <c r="L12" s="131"/>
    </row>
    <row r="13" spans="1:12" ht="14.25" x14ac:dyDescent="0.2">
      <c r="A13" s="142" t="s">
        <v>141</v>
      </c>
      <c r="B13" s="143" t="s">
        <v>142</v>
      </c>
      <c r="C13" s="146">
        <v>0.03</v>
      </c>
      <c r="D13" s="145"/>
      <c r="F13" s="131"/>
      <c r="G13" s="131"/>
      <c r="H13" s="131"/>
      <c r="I13" s="131"/>
      <c r="J13" s="131"/>
      <c r="K13" s="131"/>
      <c r="L13" s="131"/>
    </row>
    <row r="14" spans="1:12" ht="14.25" x14ac:dyDescent="0.2">
      <c r="A14" s="142" t="s">
        <v>143</v>
      </c>
      <c r="B14" s="143" t="s">
        <v>35</v>
      </c>
      <c r="C14" s="146">
        <v>0.08</v>
      </c>
      <c r="D14" s="147"/>
      <c r="F14" s="131"/>
      <c r="G14" s="131"/>
      <c r="H14" s="131"/>
      <c r="I14" s="131"/>
      <c r="J14" s="131"/>
      <c r="K14" s="131"/>
      <c r="L14" s="131"/>
    </row>
    <row r="15" spans="1:12" ht="15" x14ac:dyDescent="0.2">
      <c r="A15" s="142" t="s">
        <v>144</v>
      </c>
      <c r="B15" s="148" t="s">
        <v>145</v>
      </c>
      <c r="C15" s="149">
        <f>SUM(C7:C14)</f>
        <v>0.36800000000000005</v>
      </c>
      <c r="D15" s="147"/>
      <c r="F15" s="131"/>
      <c r="G15" s="131"/>
      <c r="H15" s="131"/>
      <c r="I15" s="131"/>
      <c r="J15" s="131"/>
      <c r="K15" s="131"/>
      <c r="L15" s="131"/>
    </row>
    <row r="16" spans="1:12" ht="15" x14ac:dyDescent="0.2">
      <c r="A16" s="150"/>
      <c r="B16" s="151"/>
      <c r="C16" s="152"/>
      <c r="D16" s="147"/>
      <c r="F16" s="131"/>
      <c r="G16" s="131"/>
      <c r="H16" s="131"/>
      <c r="I16" s="131"/>
      <c r="J16" s="131"/>
      <c r="K16" s="131"/>
      <c r="L16" s="131"/>
    </row>
    <row r="17" spans="1:12" ht="14.25" x14ac:dyDescent="0.2">
      <c r="A17" s="142" t="s">
        <v>146</v>
      </c>
      <c r="B17" s="153" t="s">
        <v>147</v>
      </c>
      <c r="C17" s="146">
        <f>ROUND(IF('3.CAGED'!C32&gt;24,(1-12/'3.CAGED'!C32)*0.1111,0.1111-C26),4)</f>
        <v>1.2500000000000001E-2</v>
      </c>
      <c r="D17" s="147"/>
      <c r="F17" s="131"/>
      <c r="G17" s="131"/>
      <c r="H17" s="131"/>
      <c r="I17" s="131"/>
      <c r="J17" s="131"/>
      <c r="K17" s="131"/>
      <c r="L17" s="131"/>
    </row>
    <row r="18" spans="1:12" ht="14.25" x14ac:dyDescent="0.2">
      <c r="A18" s="142" t="s">
        <v>148</v>
      </c>
      <c r="B18" s="153" t="s">
        <v>149</v>
      </c>
      <c r="C18" s="146">
        <f>ROUND('3.CAGED'!C36/'3.CAGED'!C33,4)</f>
        <v>8.3299999999999999E-2</v>
      </c>
      <c r="D18" s="147"/>
      <c r="F18" s="131"/>
      <c r="G18" s="131"/>
      <c r="H18" s="131"/>
      <c r="I18" s="131"/>
      <c r="J18" s="131"/>
      <c r="K18" s="131"/>
      <c r="L18" s="131"/>
    </row>
    <row r="19" spans="1:12" ht="14.25" x14ac:dyDescent="0.2">
      <c r="A19" s="142" t="s">
        <v>197</v>
      </c>
      <c r="B19" s="153" t="s">
        <v>151</v>
      </c>
      <c r="C19" s="146">
        <v>5.9999999999999995E-4</v>
      </c>
      <c r="D19" s="147"/>
      <c r="F19" s="131"/>
      <c r="G19" s="131"/>
      <c r="H19" s="131"/>
      <c r="I19" s="131"/>
      <c r="J19" s="131"/>
      <c r="K19" s="131"/>
      <c r="L19" s="131"/>
    </row>
    <row r="20" spans="1:12" ht="14.25" x14ac:dyDescent="0.2">
      <c r="A20" s="142" t="s">
        <v>150</v>
      </c>
      <c r="B20" s="153" t="s">
        <v>153</v>
      </c>
      <c r="C20" s="146">
        <v>8.2000000000000007E-3</v>
      </c>
      <c r="D20" s="147"/>
      <c r="F20" s="131"/>
      <c r="G20" s="131"/>
      <c r="H20" s="131"/>
      <c r="I20" s="131"/>
      <c r="J20" s="131"/>
      <c r="K20" s="131"/>
      <c r="L20" s="131"/>
    </row>
    <row r="21" spans="1:12" ht="14.25" x14ac:dyDescent="0.2">
      <c r="A21" s="142" t="s">
        <v>152</v>
      </c>
      <c r="B21" s="153" t="s">
        <v>155</v>
      </c>
      <c r="C21" s="146">
        <v>3.0999999999999999E-3</v>
      </c>
      <c r="D21" s="147"/>
      <c r="F21" s="131"/>
      <c r="G21" s="131"/>
      <c r="H21" s="131"/>
      <c r="I21" s="131"/>
      <c r="J21" s="131"/>
      <c r="K21" s="131"/>
      <c r="L21" s="131"/>
    </row>
    <row r="22" spans="1:12" ht="14.25" x14ac:dyDescent="0.2">
      <c r="A22" s="142" t="s">
        <v>154</v>
      </c>
      <c r="B22" s="153" t="s">
        <v>156</v>
      </c>
      <c r="C22" s="146">
        <v>1.66E-2</v>
      </c>
      <c r="D22" s="147"/>
      <c r="F22" s="131"/>
      <c r="G22" s="131"/>
      <c r="H22" s="131"/>
      <c r="I22" s="131"/>
      <c r="J22" s="131"/>
      <c r="K22" s="131"/>
      <c r="L22" s="131"/>
    </row>
    <row r="23" spans="1:12" ht="15" x14ac:dyDescent="0.2">
      <c r="A23" s="142" t="s">
        <v>157</v>
      </c>
      <c r="B23" s="148" t="s">
        <v>158</v>
      </c>
      <c r="C23" s="149">
        <f>SUM(C17:C22)</f>
        <v>0.12430000000000001</v>
      </c>
      <c r="D23" s="154"/>
      <c r="F23" s="131"/>
      <c r="G23" s="131"/>
      <c r="H23" s="131"/>
      <c r="I23" s="131"/>
      <c r="J23" s="131"/>
      <c r="K23" s="131"/>
      <c r="L23" s="131"/>
    </row>
    <row r="24" spans="1:12" ht="15" x14ac:dyDescent="0.2">
      <c r="A24" s="150"/>
      <c r="B24" s="151"/>
      <c r="C24" s="152"/>
      <c r="D24" s="154"/>
      <c r="F24" s="131"/>
      <c r="G24" s="131"/>
      <c r="H24" s="131"/>
      <c r="I24" s="131"/>
      <c r="J24" s="131"/>
      <c r="K24" s="131"/>
      <c r="L24" s="131"/>
    </row>
    <row r="25" spans="1:12" ht="14.25" x14ac:dyDescent="0.2">
      <c r="A25" s="142" t="s">
        <v>159</v>
      </c>
      <c r="B25" s="143" t="s">
        <v>160</v>
      </c>
      <c r="C25" s="146">
        <f>ROUND(('3.CAGED'!C37) *'3.CAGED'!C30/'3.CAGED'!C33,4)</f>
        <v>4.1500000000000002E-2</v>
      </c>
      <c r="D25" s="147"/>
      <c r="E25" s="155"/>
      <c r="F25" s="131"/>
      <c r="G25" s="131"/>
      <c r="H25" s="131"/>
      <c r="I25" s="131"/>
      <c r="J25" s="131"/>
      <c r="K25" s="131"/>
      <c r="L25" s="131"/>
    </row>
    <row r="26" spans="1:12" ht="14.25" x14ac:dyDescent="0.2">
      <c r="A26" s="142" t="s">
        <v>196</v>
      </c>
      <c r="B26" s="143" t="s">
        <v>162</v>
      </c>
      <c r="C26" s="146">
        <f>ROUND(IF('3.CAGED'!C32&gt;12,12/'3.CAGED'!C32*0.1111,0.1111),4)</f>
        <v>9.8599999999999993E-2</v>
      </c>
      <c r="D26" s="147"/>
      <c r="F26" s="131"/>
      <c r="G26" s="131"/>
      <c r="H26" s="156"/>
      <c r="I26" s="131"/>
      <c r="J26" s="131"/>
      <c r="K26" s="131"/>
      <c r="L26" s="131"/>
    </row>
    <row r="27" spans="1:12" ht="14.25" x14ac:dyDescent="0.2">
      <c r="A27" s="142" t="s">
        <v>161</v>
      </c>
      <c r="B27" s="143" t="s">
        <v>164</v>
      </c>
      <c r="C27" s="146">
        <f>C25*C26</f>
        <v>4.0918999999999999E-3</v>
      </c>
      <c r="D27" s="147"/>
      <c r="E27" s="155"/>
      <c r="F27" s="131"/>
      <c r="G27" s="131"/>
      <c r="H27" s="131"/>
      <c r="I27" s="131"/>
      <c r="J27" s="131"/>
      <c r="K27" s="131"/>
      <c r="L27" s="131"/>
    </row>
    <row r="28" spans="1:12" ht="14.25" x14ac:dyDescent="0.2">
      <c r="A28" s="142" t="s">
        <v>163</v>
      </c>
      <c r="B28" s="143" t="s">
        <v>166</v>
      </c>
      <c r="C28" s="146">
        <f>ROUND(('3.CAGED'!C33+'3.CAGED'!C34+'3.CAGED'!C36)/'3.CAGED'!C31*'3.CAGED'!C38*'3.CAGED'!C39*'3.CAGED'!C30/'3.CAGED'!C33,4)</f>
        <v>1.8200000000000001E-2</v>
      </c>
      <c r="D28" s="147"/>
      <c r="F28" s="131"/>
      <c r="G28" s="157"/>
      <c r="H28" s="131"/>
      <c r="I28" s="131"/>
      <c r="J28" s="131"/>
      <c r="K28" s="131"/>
      <c r="L28" s="131"/>
    </row>
    <row r="29" spans="1:12" ht="14.25" x14ac:dyDescent="0.2">
      <c r="A29" s="142" t="s">
        <v>165</v>
      </c>
      <c r="B29" s="143" t="s">
        <v>167</v>
      </c>
      <c r="C29" s="146">
        <f>ROUND(('3.CAGED'!C35/'3.CAGED'!C33)*'3.CAGED'!C30/12,4)</f>
        <v>3.0999999999999999E-3</v>
      </c>
      <c r="D29" s="147"/>
      <c r="F29" s="131"/>
      <c r="G29" s="131"/>
      <c r="H29" s="131"/>
      <c r="I29" s="131"/>
      <c r="J29" s="131"/>
      <c r="K29" s="131"/>
      <c r="L29" s="131"/>
    </row>
    <row r="30" spans="1:12" ht="15" x14ac:dyDescent="0.2">
      <c r="A30" s="142" t="s">
        <v>168</v>
      </c>
      <c r="B30" s="148" t="s">
        <v>169</v>
      </c>
      <c r="C30" s="149">
        <f>SUM(C25:C29)</f>
        <v>0.1654919</v>
      </c>
      <c r="D30" s="154"/>
      <c r="F30" s="131"/>
      <c r="G30" s="131"/>
      <c r="H30" s="131"/>
      <c r="I30" s="131"/>
      <c r="J30" s="131"/>
      <c r="K30" s="131"/>
      <c r="L30" s="131"/>
    </row>
    <row r="31" spans="1:12" ht="15" x14ac:dyDescent="0.2">
      <c r="A31" s="150"/>
      <c r="B31" s="151"/>
      <c r="C31" s="152"/>
      <c r="D31" s="154"/>
      <c r="F31" s="131"/>
      <c r="G31" s="131"/>
      <c r="H31" s="131"/>
      <c r="I31" s="131"/>
      <c r="J31" s="131"/>
      <c r="K31" s="131"/>
      <c r="L31" s="131"/>
    </row>
    <row r="32" spans="1:12" ht="14.25" x14ac:dyDescent="0.2">
      <c r="A32" s="142" t="s">
        <v>170</v>
      </c>
      <c r="B32" s="143" t="s">
        <v>171</v>
      </c>
      <c r="C32" s="146">
        <f>ROUND(C15*C23,4)</f>
        <v>4.5699999999999998E-2</v>
      </c>
      <c r="D32" s="147"/>
      <c r="F32" s="131"/>
      <c r="G32" s="131"/>
      <c r="H32" s="131"/>
      <c r="I32" s="131"/>
      <c r="J32" s="131"/>
      <c r="K32" s="131"/>
      <c r="L32" s="131"/>
    </row>
    <row r="33" spans="1:12" ht="28.5" x14ac:dyDescent="0.2">
      <c r="A33" s="142" t="s">
        <v>172</v>
      </c>
      <c r="B33" s="158" t="s">
        <v>258</v>
      </c>
      <c r="C33" s="146">
        <f>ROUND((C25*C14),4)</f>
        <v>3.3E-3</v>
      </c>
      <c r="D33" s="147"/>
      <c r="F33" s="131"/>
      <c r="G33" s="131"/>
      <c r="H33" s="131"/>
      <c r="I33" s="131"/>
      <c r="J33" s="131"/>
      <c r="K33" s="131"/>
      <c r="L33" s="131"/>
    </row>
    <row r="34" spans="1:12" ht="15" x14ac:dyDescent="0.2">
      <c r="A34" s="142" t="s">
        <v>173</v>
      </c>
      <c r="B34" s="148" t="s">
        <v>174</v>
      </c>
      <c r="C34" s="149">
        <f>SUM(C32:C33)</f>
        <v>4.8999999999999995E-2</v>
      </c>
      <c r="D34" s="159"/>
      <c r="F34" s="131"/>
      <c r="G34" s="131"/>
      <c r="H34" s="131"/>
      <c r="I34" s="131"/>
      <c r="J34" s="131"/>
      <c r="K34" s="131"/>
      <c r="L34" s="131"/>
    </row>
    <row r="35" spans="1:12" ht="15.75" thickBot="1" x14ac:dyDescent="0.25">
      <c r="A35" s="160"/>
      <c r="B35" s="161" t="s">
        <v>175</v>
      </c>
      <c r="C35" s="162">
        <f>C34+C30+C23+C15</f>
        <v>0.70679190000000003</v>
      </c>
      <c r="D35" s="159"/>
      <c r="F35" s="131"/>
      <c r="G35" s="131"/>
      <c r="H35" s="131"/>
      <c r="I35" s="131"/>
      <c r="J35" s="131"/>
      <c r="K35" s="131"/>
      <c r="L35" s="131"/>
    </row>
    <row r="36" spans="1:12" ht="15" x14ac:dyDescent="0.2">
      <c r="A36" s="147"/>
      <c r="B36" s="163"/>
      <c r="C36" s="164"/>
      <c r="D36" s="165"/>
      <c r="F36" s="131"/>
      <c r="G36" s="131"/>
      <c r="H36" s="131"/>
      <c r="I36" s="131"/>
      <c r="J36" s="131"/>
      <c r="K36" s="131"/>
      <c r="L36" s="131"/>
    </row>
    <row r="37" spans="1:12" ht="14.25" x14ac:dyDescent="0.2">
      <c r="A37" s="147"/>
      <c r="B37" s="147"/>
      <c r="C37" s="166"/>
      <c r="D37" s="167"/>
      <c r="F37" s="131"/>
      <c r="G37" s="131"/>
      <c r="H37" s="131"/>
      <c r="I37" s="131"/>
      <c r="J37" s="131"/>
      <c r="K37" s="131"/>
      <c r="L37" s="131"/>
    </row>
    <row r="38" spans="1:12" ht="14.25" x14ac:dyDescent="0.2">
      <c r="A38" s="145"/>
      <c r="B38" s="145"/>
      <c r="C38" s="168"/>
      <c r="D38" s="145"/>
      <c r="F38" s="131"/>
      <c r="G38" s="131"/>
      <c r="H38" s="131"/>
      <c r="I38" s="131"/>
      <c r="J38" s="131"/>
      <c r="K38" s="131"/>
      <c r="L38" s="131"/>
    </row>
    <row r="39" spans="1:12" ht="14.25" x14ac:dyDescent="0.2">
      <c r="A39" s="145"/>
      <c r="B39" s="145"/>
      <c r="C39" s="168"/>
      <c r="D39" s="145"/>
      <c r="F39" s="131"/>
      <c r="G39" s="131"/>
      <c r="H39" s="131"/>
      <c r="I39" s="131"/>
      <c r="J39" s="131"/>
      <c r="K39" s="131"/>
      <c r="L39" s="131"/>
    </row>
    <row r="40" spans="1:12" ht="14.25" x14ac:dyDescent="0.2">
      <c r="A40" s="145"/>
      <c r="B40" s="145"/>
      <c r="C40" s="168"/>
      <c r="D40" s="145"/>
      <c r="F40" s="131"/>
      <c r="G40" s="131"/>
      <c r="H40" s="131"/>
      <c r="I40" s="131"/>
      <c r="J40" s="131"/>
      <c r="K40" s="131"/>
      <c r="L40" s="131"/>
    </row>
    <row r="41" spans="1:12" ht="15" x14ac:dyDescent="0.2">
      <c r="A41" s="145"/>
      <c r="B41" s="169"/>
      <c r="C41" s="170"/>
      <c r="D41" s="145"/>
      <c r="F41" s="131"/>
      <c r="G41" s="131"/>
      <c r="H41" s="131"/>
      <c r="I41" s="131"/>
      <c r="J41" s="131"/>
      <c r="K41" s="131"/>
      <c r="L41" s="131"/>
    </row>
    <row r="42" spans="1:12" ht="15" x14ac:dyDescent="0.2">
      <c r="A42" s="159"/>
      <c r="B42" s="169"/>
      <c r="C42" s="170"/>
      <c r="D42" s="159"/>
      <c r="E42" s="131"/>
      <c r="F42" s="131"/>
      <c r="G42" s="131"/>
      <c r="H42" s="131"/>
      <c r="I42" s="131"/>
      <c r="J42" s="131"/>
      <c r="K42" s="131"/>
      <c r="L42" s="131"/>
    </row>
    <row r="43" spans="1:12" ht="16.5" x14ac:dyDescent="0.2">
      <c r="A43" s="171"/>
      <c r="B43" s="131"/>
      <c r="C43" s="131"/>
      <c r="E43" s="131"/>
      <c r="F43" s="131"/>
      <c r="G43" s="131"/>
      <c r="H43" s="131"/>
      <c r="I43" s="131"/>
      <c r="J43" s="131"/>
      <c r="K43" s="131"/>
      <c r="L43" s="131"/>
    </row>
    <row r="44" spans="1:12" x14ac:dyDescent="0.2">
      <c r="A44" s="172"/>
      <c r="B44" s="173"/>
      <c r="C44" s="173"/>
      <c r="E44" s="131"/>
      <c r="F44" s="131"/>
      <c r="G44" s="131"/>
      <c r="H44" s="131"/>
      <c r="I44" s="131"/>
      <c r="J44" s="131"/>
      <c r="K44" s="131"/>
      <c r="L44" s="131"/>
    </row>
    <row r="45" spans="1:12" ht="14.25" x14ac:dyDescent="0.2">
      <c r="A45" s="145"/>
      <c r="B45" s="174"/>
      <c r="C45" s="173"/>
      <c r="E45" s="131"/>
      <c r="F45" s="131"/>
      <c r="G45" s="131"/>
      <c r="H45" s="131"/>
      <c r="I45" s="131"/>
      <c r="J45" s="131"/>
      <c r="K45" s="131"/>
      <c r="L45" s="131"/>
    </row>
    <row r="46" spans="1:12" ht="14.25" x14ac:dyDescent="0.2">
      <c r="A46" s="145"/>
      <c r="B46" s="174"/>
      <c r="C46" s="145"/>
      <c r="E46" s="131"/>
      <c r="F46" s="131"/>
      <c r="G46" s="131"/>
      <c r="H46" s="131"/>
      <c r="I46" s="131"/>
      <c r="J46" s="131"/>
      <c r="K46" s="131"/>
      <c r="L46" s="131"/>
    </row>
    <row r="47" spans="1:12" ht="14.25" x14ac:dyDescent="0.2">
      <c r="A47" s="145"/>
      <c r="B47" s="168"/>
      <c r="C47" s="173"/>
      <c r="E47" s="131"/>
      <c r="F47" s="131"/>
      <c r="G47" s="131"/>
      <c r="H47" s="131"/>
      <c r="I47" s="131"/>
      <c r="J47" s="131"/>
      <c r="K47" s="131"/>
      <c r="L47" s="131"/>
    </row>
    <row r="48" spans="1:12" ht="14.25" x14ac:dyDescent="0.2">
      <c r="A48" s="145"/>
      <c r="B48" s="174"/>
      <c r="C48" s="145"/>
      <c r="E48" s="131"/>
      <c r="F48" s="131"/>
      <c r="G48" s="131"/>
      <c r="H48" s="131"/>
      <c r="I48" s="131"/>
      <c r="J48" s="131"/>
      <c r="K48" s="131"/>
      <c r="L48" s="131"/>
    </row>
    <row r="49" spans="1:12" ht="14.25" x14ac:dyDescent="0.2">
      <c r="A49" s="145"/>
      <c r="B49" s="168"/>
      <c r="C49" s="173"/>
      <c r="E49" s="131"/>
      <c r="F49" s="131"/>
      <c r="G49" s="131"/>
      <c r="H49" s="131"/>
      <c r="I49" s="131"/>
      <c r="J49" s="131"/>
      <c r="K49" s="131"/>
      <c r="L49" s="131"/>
    </row>
    <row r="50" spans="1:12" ht="14.25" x14ac:dyDescent="0.2">
      <c r="A50" s="145"/>
      <c r="B50" s="174"/>
      <c r="C50" s="145"/>
      <c r="E50" s="131"/>
      <c r="F50" s="131"/>
      <c r="G50" s="131"/>
      <c r="H50" s="131"/>
      <c r="I50" s="131"/>
      <c r="J50" s="131"/>
      <c r="K50" s="131"/>
      <c r="L50" s="131"/>
    </row>
    <row r="51" spans="1:12" ht="14.25" x14ac:dyDescent="0.2">
      <c r="A51" s="145"/>
      <c r="B51" s="168"/>
      <c r="C51" s="173"/>
      <c r="E51" s="131"/>
      <c r="F51" s="131"/>
      <c r="G51" s="131"/>
      <c r="H51" s="131"/>
      <c r="I51" s="131"/>
      <c r="J51" s="131"/>
      <c r="K51" s="131"/>
      <c r="L51" s="131"/>
    </row>
    <row r="52" spans="1:12" ht="14.25" x14ac:dyDescent="0.2">
      <c r="A52" s="145"/>
      <c r="B52" s="174"/>
      <c r="C52" s="145"/>
      <c r="E52" s="131"/>
      <c r="F52" s="131"/>
      <c r="G52" s="131"/>
      <c r="H52" s="131"/>
      <c r="I52" s="131"/>
      <c r="J52" s="131"/>
      <c r="K52" s="131"/>
      <c r="L52" s="131"/>
    </row>
    <row r="53" spans="1:12" ht="14.25" x14ac:dyDescent="0.2">
      <c r="A53" s="145"/>
      <c r="B53" s="168"/>
      <c r="C53" s="173"/>
      <c r="E53" s="131"/>
      <c r="F53" s="131"/>
      <c r="G53" s="131"/>
      <c r="H53" s="131"/>
      <c r="I53" s="131"/>
      <c r="J53" s="131"/>
      <c r="K53" s="131"/>
      <c r="L53" s="131"/>
    </row>
    <row r="54" spans="1:12" ht="16.5" x14ac:dyDescent="0.2">
      <c r="A54" s="171"/>
      <c r="B54" s="131"/>
      <c r="C54" s="131"/>
      <c r="E54" s="131"/>
      <c r="F54" s="131"/>
      <c r="G54" s="131"/>
      <c r="H54" s="131"/>
      <c r="I54" s="131"/>
      <c r="J54" s="131"/>
      <c r="K54" s="131"/>
      <c r="L54" s="131"/>
    </row>
    <row r="55" spans="1:12" x14ac:dyDescent="0.2">
      <c r="A55" s="131"/>
      <c r="B55" s="131"/>
      <c r="C55" s="131"/>
      <c r="E55" s="131"/>
      <c r="F55" s="131"/>
      <c r="G55" s="131"/>
      <c r="H55" s="131"/>
      <c r="I55" s="131"/>
      <c r="J55" s="131"/>
      <c r="K55" s="131"/>
      <c r="L55" s="131"/>
    </row>
    <row r="56" spans="1:12" x14ac:dyDescent="0.2">
      <c r="A56" s="131"/>
      <c r="B56" s="131"/>
      <c r="C56" s="131"/>
      <c r="E56" s="131"/>
      <c r="F56" s="131"/>
      <c r="G56" s="131"/>
      <c r="H56" s="131"/>
      <c r="I56" s="131"/>
      <c r="J56" s="131"/>
      <c r="K56" s="131"/>
      <c r="L56" s="131"/>
    </row>
    <row r="57" spans="1:12" x14ac:dyDescent="0.2">
      <c r="A57" s="175"/>
      <c r="B57" s="131"/>
      <c r="C57" s="131"/>
      <c r="E57" s="131"/>
      <c r="F57" s="131"/>
      <c r="G57" s="131"/>
      <c r="H57" s="131"/>
      <c r="I57" s="131"/>
      <c r="J57" s="131"/>
      <c r="K57" s="131"/>
      <c r="L57" s="131"/>
    </row>
    <row r="58" spans="1:12" x14ac:dyDescent="0.2">
      <c r="A58" s="131"/>
      <c r="B58" s="131"/>
      <c r="C58" s="131"/>
      <c r="E58" s="131"/>
    </row>
    <row r="59" spans="1:12" x14ac:dyDescent="0.2">
      <c r="A59" s="131"/>
      <c r="B59" s="131"/>
      <c r="C59" s="131"/>
      <c r="E59" s="131"/>
    </row>
    <row r="60" spans="1:12" x14ac:dyDescent="0.2">
      <c r="A60" s="131"/>
      <c r="B60" s="131"/>
      <c r="C60" s="131"/>
      <c r="E60" s="131"/>
    </row>
    <row r="61" spans="1:12" x14ac:dyDescent="0.2">
      <c r="A61" s="131"/>
      <c r="B61" s="131"/>
      <c r="C61" s="131"/>
      <c r="E61" s="131"/>
    </row>
    <row r="62" spans="1:12" x14ac:dyDescent="0.2">
      <c r="A62" s="131"/>
      <c r="B62" s="131"/>
      <c r="C62" s="131"/>
      <c r="E62" s="131"/>
    </row>
    <row r="63" spans="1:12" x14ac:dyDescent="0.2">
      <c r="A63" s="131"/>
      <c r="B63" s="131"/>
      <c r="C63" s="131"/>
      <c r="E63" s="131"/>
    </row>
    <row r="64" spans="1:12" x14ac:dyDescent="0.2">
      <c r="A64" s="131"/>
      <c r="B64" s="131"/>
      <c r="C64" s="131"/>
      <c r="E64" s="131"/>
    </row>
    <row r="65" spans="1:5" x14ac:dyDescent="0.2">
      <c r="A65" s="131"/>
      <c r="B65" s="131"/>
      <c r="C65" s="131"/>
      <c r="E65" s="131"/>
    </row>
    <row r="66" spans="1:5" x14ac:dyDescent="0.2">
      <c r="A66" s="131"/>
      <c r="B66" s="131"/>
      <c r="C66" s="131"/>
      <c r="E66" s="131"/>
    </row>
  </sheetData>
  <mergeCells count="1">
    <mergeCell ref="A5:C5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E15" sqref="E1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94" t="s">
        <v>220</v>
      </c>
    </row>
    <row r="3" spans="1:3" x14ac:dyDescent="0.2">
      <c r="A3" s="244" t="s">
        <v>310</v>
      </c>
      <c r="B3" s="244"/>
      <c r="C3" s="244"/>
    </row>
    <row r="4" spans="1:3" x14ac:dyDescent="0.2">
      <c r="A4" s="244" t="s">
        <v>311</v>
      </c>
      <c r="B4" s="244"/>
      <c r="C4" s="244"/>
    </row>
    <row r="5" spans="1:3" x14ac:dyDescent="0.2">
      <c r="A5" s="361" t="s">
        <v>312</v>
      </c>
      <c r="B5" s="361"/>
      <c r="C5" s="361"/>
    </row>
    <row r="6" spans="1:3" s="244" customFormat="1" x14ac:dyDescent="0.2">
      <c r="A6" s="244" t="s">
        <v>313</v>
      </c>
    </row>
    <row r="7" spans="1:3" s="244" customFormat="1" x14ac:dyDescent="0.2">
      <c r="A7" s="361" t="s">
        <v>314</v>
      </c>
      <c r="B7" s="361"/>
      <c r="C7" s="361"/>
    </row>
    <row r="8" spans="1:3" s="244" customFormat="1" x14ac:dyDescent="0.2">
      <c r="A8" s="244" t="s">
        <v>315</v>
      </c>
    </row>
    <row r="9" spans="1:3" x14ac:dyDescent="0.2">
      <c r="A9" s="244" t="s">
        <v>316</v>
      </c>
      <c r="B9" s="244"/>
      <c r="C9" s="244"/>
    </row>
    <row r="10" spans="1:3" ht="13.5" thickBot="1" x14ac:dyDescent="0.25">
      <c r="A10" s="244"/>
      <c r="B10" s="244"/>
      <c r="C10" s="244"/>
    </row>
    <row r="11" spans="1:3" ht="18" x14ac:dyDescent="0.25">
      <c r="B11" s="359" t="s">
        <v>206</v>
      </c>
      <c r="C11" s="360"/>
    </row>
    <row r="12" spans="1:3" ht="15" x14ac:dyDescent="0.25">
      <c r="A12" s="131"/>
      <c r="B12" s="130" t="s">
        <v>271</v>
      </c>
      <c r="C12" s="176"/>
    </row>
    <row r="13" spans="1:3" ht="15" x14ac:dyDescent="0.25">
      <c r="A13" s="131"/>
      <c r="B13" s="132" t="s">
        <v>111</v>
      </c>
      <c r="C13" s="133">
        <v>2249</v>
      </c>
    </row>
    <row r="14" spans="1:3" ht="15" x14ac:dyDescent="0.25">
      <c r="A14" s="131"/>
      <c r="B14" s="134" t="s">
        <v>112</v>
      </c>
      <c r="C14" s="133">
        <v>1915</v>
      </c>
    </row>
    <row r="15" spans="1:3" ht="14.25" x14ac:dyDescent="0.2">
      <c r="A15" s="131"/>
      <c r="B15" s="177" t="s">
        <v>113</v>
      </c>
      <c r="C15" s="178">
        <v>39</v>
      </c>
    </row>
    <row r="16" spans="1:3" ht="14.25" x14ac:dyDescent="0.2">
      <c r="A16" s="131"/>
      <c r="B16" s="177" t="s">
        <v>114</v>
      </c>
      <c r="C16" s="178">
        <v>1063</v>
      </c>
    </row>
    <row r="17" spans="1:5" ht="14.25" x14ac:dyDescent="0.2">
      <c r="A17" s="131"/>
      <c r="B17" s="177" t="s">
        <v>115</v>
      </c>
      <c r="C17" s="178">
        <v>428</v>
      </c>
    </row>
    <row r="18" spans="1:5" ht="14.25" x14ac:dyDescent="0.2">
      <c r="A18" s="131"/>
      <c r="B18" s="177" t="s">
        <v>116</v>
      </c>
      <c r="C18" s="178">
        <v>22</v>
      </c>
    </row>
    <row r="19" spans="1:5" ht="14.25" x14ac:dyDescent="0.2">
      <c r="A19" s="131"/>
      <c r="B19" s="177" t="s">
        <v>117</v>
      </c>
      <c r="C19" s="178">
        <v>296</v>
      </c>
    </row>
    <row r="20" spans="1:5" ht="14.25" x14ac:dyDescent="0.2">
      <c r="A20" s="131"/>
      <c r="B20" s="177" t="s">
        <v>118</v>
      </c>
      <c r="C20" s="178">
        <v>0</v>
      </c>
    </row>
    <row r="21" spans="1:5" ht="14.25" x14ac:dyDescent="0.2">
      <c r="A21" s="131"/>
      <c r="B21" s="177" t="s">
        <v>119</v>
      </c>
      <c r="C21" s="178">
        <v>20</v>
      </c>
    </row>
    <row r="22" spans="1:5" ht="14.25" x14ac:dyDescent="0.2">
      <c r="A22" s="131"/>
      <c r="B22" s="179" t="s">
        <v>120</v>
      </c>
      <c r="C22" s="180">
        <v>0</v>
      </c>
    </row>
    <row r="23" spans="1:5" ht="14.25" x14ac:dyDescent="0.2">
      <c r="A23" s="131"/>
      <c r="B23" s="275" t="s">
        <v>263</v>
      </c>
      <c r="C23" s="180">
        <v>0</v>
      </c>
    </row>
    <row r="24" spans="1:5" ht="15" x14ac:dyDescent="0.25">
      <c r="A24" s="131" t="s">
        <v>121</v>
      </c>
      <c r="B24" s="130" t="s">
        <v>122</v>
      </c>
      <c r="C24" s="176"/>
    </row>
    <row r="25" spans="1:5" ht="14.25" x14ac:dyDescent="0.2">
      <c r="A25" s="131"/>
      <c r="B25" s="181" t="s">
        <v>265</v>
      </c>
      <c r="C25" s="182">
        <v>0</v>
      </c>
    </row>
    <row r="26" spans="1:5" ht="14.25" x14ac:dyDescent="0.2">
      <c r="A26" s="131"/>
      <c r="B26" s="177" t="s">
        <v>266</v>
      </c>
      <c r="C26" s="178">
        <v>4694</v>
      </c>
    </row>
    <row r="27" spans="1:5" ht="14.25" x14ac:dyDescent="0.2">
      <c r="B27" s="177" t="s">
        <v>264</v>
      </c>
      <c r="C27" s="269">
        <f>C13-C14</f>
        <v>334</v>
      </c>
    </row>
    <row r="28" spans="1:5" ht="14.25" x14ac:dyDescent="0.2">
      <c r="B28" s="183"/>
      <c r="C28" s="184"/>
    </row>
    <row r="29" spans="1:5" s="94" customFormat="1" ht="15" x14ac:dyDescent="0.25">
      <c r="B29" s="132" t="s">
        <v>124</v>
      </c>
      <c r="C29" s="185">
        <f>MEDIAN(C25,C26)</f>
        <v>2347</v>
      </c>
    </row>
    <row r="30" spans="1:5" ht="15" x14ac:dyDescent="0.25">
      <c r="B30" s="134" t="s">
        <v>261</v>
      </c>
      <c r="C30" s="273">
        <f>C16/C29</f>
        <v>0.45291861951427353</v>
      </c>
    </row>
    <row r="31" spans="1:5" ht="15" x14ac:dyDescent="0.25">
      <c r="B31" s="134" t="s">
        <v>262</v>
      </c>
      <c r="C31" s="273">
        <f>MEDIAN(C13,C14)/C29</f>
        <v>0.88708990200255644</v>
      </c>
      <c r="E31" s="244"/>
    </row>
    <row r="32" spans="1:5" s="94" customFormat="1" ht="15" x14ac:dyDescent="0.25">
      <c r="B32" s="134" t="s">
        <v>226</v>
      </c>
      <c r="C32" s="271">
        <f>12/C31</f>
        <v>13.527377521613833</v>
      </c>
    </row>
    <row r="33" spans="2:3" ht="15" x14ac:dyDescent="0.25">
      <c r="B33" s="134" t="s">
        <v>123</v>
      </c>
      <c r="C33" s="136">
        <v>360</v>
      </c>
    </row>
    <row r="34" spans="2:3" ht="15" x14ac:dyDescent="0.25">
      <c r="B34" s="134" t="s">
        <v>221</v>
      </c>
      <c r="C34" s="136">
        <v>10</v>
      </c>
    </row>
    <row r="35" spans="2:3" ht="15" x14ac:dyDescent="0.25">
      <c r="B35" s="132" t="s">
        <v>222</v>
      </c>
      <c r="C35" s="135">
        <v>30</v>
      </c>
    </row>
    <row r="36" spans="2:3" ht="15" x14ac:dyDescent="0.25">
      <c r="B36" s="132" t="s">
        <v>223</v>
      </c>
      <c r="C36" s="135">
        <v>30</v>
      </c>
    </row>
    <row r="37" spans="2:3" s="94" customFormat="1" ht="15" x14ac:dyDescent="0.25">
      <c r="B37" s="132" t="s">
        <v>126</v>
      </c>
      <c r="C37" s="135">
        <f>30+(3*TRUNC(1/C31))</f>
        <v>33</v>
      </c>
    </row>
    <row r="38" spans="2:3" s="94" customFormat="1" ht="15" x14ac:dyDescent="0.25">
      <c r="B38" s="134" t="s">
        <v>35</v>
      </c>
      <c r="C38" s="272">
        <v>0.08</v>
      </c>
    </row>
    <row r="39" spans="2:3" s="94" customFormat="1" ht="15.75" thickBot="1" x14ac:dyDescent="0.3">
      <c r="B39" s="137" t="s">
        <v>125</v>
      </c>
      <c r="C39" s="274">
        <v>0.4</v>
      </c>
    </row>
  </sheetData>
  <mergeCells count="3">
    <mergeCell ref="B11:C11"/>
    <mergeCell ref="A5:C5"/>
    <mergeCell ref="A7:C7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I8" sqref="I8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04" bestFit="1" customWidth="1"/>
    <col min="6" max="6" width="9.7109375" bestFit="1" customWidth="1"/>
  </cols>
  <sheetData>
    <row r="1" spans="1:8" s="121" customFormat="1" ht="14.25" x14ac:dyDescent="0.2">
      <c r="A1" s="9" t="s">
        <v>187</v>
      </c>
      <c r="B1" s="119"/>
      <c r="C1" s="119"/>
      <c r="E1" s="122"/>
    </row>
    <row r="2" spans="1:8" s="121" customFormat="1" ht="14.25" x14ac:dyDescent="0.2">
      <c r="A2" s="5" t="s">
        <v>307</v>
      </c>
      <c r="B2" s="119"/>
      <c r="C2" s="119"/>
      <c r="E2" s="122"/>
    </row>
    <row r="3" spans="1:8" s="121" customFormat="1" ht="14.25" x14ac:dyDescent="0.2">
      <c r="A3" s="7"/>
      <c r="B3" s="119"/>
      <c r="C3" s="119"/>
      <c r="E3" s="122"/>
    </row>
    <row r="4" spans="1:8" s="121" customFormat="1" ht="15" thickBot="1" x14ac:dyDescent="0.25">
      <c r="B4" s="119"/>
      <c r="C4" s="119"/>
      <c r="E4" s="122"/>
    </row>
    <row r="5" spans="1:8" ht="15.75" x14ac:dyDescent="0.2">
      <c r="A5" s="367" t="s">
        <v>207</v>
      </c>
      <c r="B5" s="368"/>
      <c r="C5" s="368"/>
      <c r="D5" s="368"/>
      <c r="E5" s="368"/>
      <c r="F5" s="369"/>
    </row>
    <row r="6" spans="1:8" ht="16.5" thickBot="1" x14ac:dyDescent="0.25">
      <c r="A6" s="229"/>
      <c r="B6" s="230"/>
      <c r="C6" s="230"/>
      <c r="D6" s="230"/>
      <c r="E6" s="230"/>
      <c r="F6" s="231"/>
    </row>
    <row r="7" spans="1:8" ht="15" x14ac:dyDescent="0.25">
      <c r="A7" s="186"/>
      <c r="B7" s="120"/>
      <c r="C7" s="120"/>
      <c r="D7" s="364" t="s">
        <v>224</v>
      </c>
      <c r="E7" s="365"/>
      <c r="F7" s="366"/>
      <c r="G7" s="121"/>
      <c r="H7" s="121"/>
    </row>
    <row r="8" spans="1:8" ht="15" thickBot="1" x14ac:dyDescent="0.25">
      <c r="A8" s="183"/>
      <c r="B8" s="187"/>
      <c r="C8" s="187"/>
      <c r="D8" s="188" t="s">
        <v>176</v>
      </c>
      <c r="E8" s="189" t="s">
        <v>177</v>
      </c>
      <c r="F8" s="190" t="s">
        <v>178</v>
      </c>
      <c r="G8" s="121"/>
      <c r="H8" s="121"/>
    </row>
    <row r="9" spans="1:8" ht="14.25" x14ac:dyDescent="0.2">
      <c r="A9" s="191" t="s">
        <v>66</v>
      </c>
      <c r="B9" s="192" t="s">
        <v>67</v>
      </c>
      <c r="C9" s="193"/>
      <c r="D9" s="214">
        <v>2.9700000000000001E-2</v>
      </c>
      <c r="E9" s="215">
        <v>5.0799999999999998E-2</v>
      </c>
      <c r="F9" s="216">
        <v>6.2700000000000006E-2</v>
      </c>
      <c r="G9" s="121"/>
      <c r="H9" s="121"/>
    </row>
    <row r="10" spans="1:8" ht="14.25" x14ac:dyDescent="0.2">
      <c r="A10" s="195" t="s">
        <v>68</v>
      </c>
      <c r="B10" s="196" t="s">
        <v>69</v>
      </c>
      <c r="C10" s="197"/>
      <c r="D10" s="214">
        <f>0.3%+0.56%</f>
        <v>8.6E-3</v>
      </c>
      <c r="E10" s="215">
        <f>0.48%+0.85%</f>
        <v>1.3299999999999999E-2</v>
      </c>
      <c r="F10" s="216">
        <f>0.82%+0.89%</f>
        <v>1.7099999999999997E-2</v>
      </c>
      <c r="G10" s="121"/>
      <c r="H10" s="121"/>
    </row>
    <row r="11" spans="1:8" ht="14.25" x14ac:dyDescent="0.2">
      <c r="A11" s="195" t="s">
        <v>70</v>
      </c>
      <c r="B11" s="196" t="s">
        <v>71</v>
      </c>
      <c r="C11" s="197"/>
      <c r="D11" s="214">
        <v>7.7799999999999994E-2</v>
      </c>
      <c r="E11" s="215">
        <v>0.1085</v>
      </c>
      <c r="F11" s="216">
        <v>0.13550000000000001</v>
      </c>
      <c r="G11" s="121"/>
      <c r="H11" s="121"/>
    </row>
    <row r="12" spans="1:8" ht="14.25" x14ac:dyDescent="0.2">
      <c r="A12" s="195" t="s">
        <v>72</v>
      </c>
      <c r="B12" s="196" t="s">
        <v>73</v>
      </c>
      <c r="C12" s="198">
        <f>(1+E12)^(E13/252)-1</f>
        <v>0</v>
      </c>
      <c r="D12" s="214" t="s">
        <v>256</v>
      </c>
      <c r="E12" s="199"/>
      <c r="F12" s="194"/>
      <c r="G12" s="121"/>
      <c r="H12" s="121"/>
    </row>
    <row r="13" spans="1:8" ht="14.25" x14ac:dyDescent="0.2">
      <c r="A13" s="195" t="s">
        <v>74</v>
      </c>
      <c r="B13" s="362" t="s">
        <v>75</v>
      </c>
      <c r="C13" s="197"/>
      <c r="D13" s="265" t="s">
        <v>179</v>
      </c>
      <c r="E13" s="200"/>
      <c r="F13" s="201"/>
      <c r="G13" s="121"/>
      <c r="H13" s="121"/>
    </row>
    <row r="14" spans="1:8" ht="15" thickBot="1" x14ac:dyDescent="0.25">
      <c r="A14" s="202" t="s">
        <v>76</v>
      </c>
      <c r="B14" s="363"/>
      <c r="C14" s="203"/>
      <c r="D14" s="177"/>
      <c r="E14" s="204"/>
      <c r="F14" s="201"/>
      <c r="G14" s="121"/>
      <c r="H14" s="121"/>
    </row>
    <row r="15" spans="1:8" ht="14.25" x14ac:dyDescent="0.2">
      <c r="A15" s="205" t="s">
        <v>77</v>
      </c>
      <c r="B15" s="206"/>
      <c r="C15" s="207"/>
      <c r="D15" s="177"/>
      <c r="E15" s="204"/>
      <c r="F15" s="201"/>
      <c r="G15" s="121"/>
      <c r="H15" s="121"/>
    </row>
    <row r="16" spans="1:8" ht="15" thickBot="1" x14ac:dyDescent="0.25">
      <c r="A16" s="208" t="s">
        <v>78</v>
      </c>
      <c r="B16" s="209"/>
      <c r="C16" s="210"/>
      <c r="D16" s="177"/>
      <c r="E16" s="204"/>
      <c r="F16" s="201"/>
      <c r="G16" s="121"/>
      <c r="H16" s="121"/>
    </row>
    <row r="17" spans="1:8" ht="15.75" thickBot="1" x14ac:dyDescent="0.25">
      <c r="A17" s="211" t="s">
        <v>79</v>
      </c>
      <c r="B17" s="212"/>
      <c r="C17" s="213">
        <f>ROUND((((1+C9+C10)*(1+C11)*(1+C12))/(1-(C13+C14))-1),4)</f>
        <v>0</v>
      </c>
      <c r="D17" s="217">
        <v>0.21429999999999999</v>
      </c>
      <c r="E17" s="218">
        <v>0.2717</v>
      </c>
      <c r="F17" s="219">
        <v>0.3362</v>
      </c>
      <c r="G17" s="121"/>
      <c r="H17" s="121"/>
    </row>
    <row r="18" spans="1:8" ht="14.25" x14ac:dyDescent="0.2">
      <c r="A18" s="121"/>
      <c r="B18" s="121"/>
      <c r="C18" s="121"/>
      <c r="D18" s="121"/>
      <c r="E18" s="122"/>
      <c r="F18" s="121"/>
      <c r="G18" s="121"/>
      <c r="H18" s="121"/>
    </row>
    <row r="19" spans="1:8" ht="14.25" x14ac:dyDescent="0.2">
      <c r="A19" s="121"/>
      <c r="B19" s="121"/>
      <c r="C19" s="121"/>
      <c r="D19" s="121"/>
      <c r="E19" s="122"/>
      <c r="F19" s="121"/>
      <c r="G19" s="121"/>
      <c r="H19" s="121"/>
    </row>
    <row r="20" spans="1:8" ht="14.25" x14ac:dyDescent="0.2">
      <c r="A20" s="121"/>
      <c r="B20" s="121"/>
      <c r="C20" s="121"/>
      <c r="D20" s="121"/>
      <c r="E20" s="122"/>
      <c r="F20" s="121"/>
      <c r="G20" s="121"/>
      <c r="H20" s="121"/>
    </row>
    <row r="21" spans="1:8" ht="14.25" x14ac:dyDescent="0.2">
      <c r="A21" s="121"/>
      <c r="B21" s="121"/>
      <c r="C21" s="121"/>
      <c r="D21" s="121"/>
      <c r="E21" s="122"/>
      <c r="F21" s="121"/>
      <c r="G21" s="121"/>
      <c r="H21" s="121"/>
    </row>
  </sheetData>
  <mergeCells count="3">
    <mergeCell ref="B13:B14"/>
    <mergeCell ref="D7:F7"/>
    <mergeCell ref="A5:F5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2" sqref="B12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70" t="s">
        <v>209</v>
      </c>
      <c r="B1" s="371"/>
    </row>
    <row r="2" spans="1:2" s="94" customFormat="1" ht="19.5" customHeight="1" x14ac:dyDescent="0.2">
      <c r="A2" s="232" t="s">
        <v>188</v>
      </c>
      <c r="B2" s="233" t="s">
        <v>257</v>
      </c>
    </row>
    <row r="3" spans="1:2" ht="19.5" customHeight="1" x14ac:dyDescent="0.2">
      <c r="A3" s="139">
        <v>1</v>
      </c>
      <c r="B3" s="138">
        <v>33.629999999999995</v>
      </c>
    </row>
    <row r="4" spans="1:2" ht="19.5" customHeight="1" x14ac:dyDescent="0.2">
      <c r="A4" s="139">
        <v>2</v>
      </c>
      <c r="B4" s="138">
        <v>43.13</v>
      </c>
    </row>
    <row r="5" spans="1:2" ht="19.5" customHeight="1" x14ac:dyDescent="0.2">
      <c r="A5" s="139">
        <v>3</v>
      </c>
      <c r="B5" s="138">
        <v>48.68</v>
      </c>
    </row>
    <row r="6" spans="1:2" ht="19.5" customHeight="1" x14ac:dyDescent="0.2">
      <c r="A6" s="139">
        <v>4</v>
      </c>
      <c r="B6" s="138">
        <v>52.62</v>
      </c>
    </row>
    <row r="7" spans="1:2" ht="19.5" customHeight="1" x14ac:dyDescent="0.2">
      <c r="A7" s="139">
        <v>5</v>
      </c>
      <c r="B7" s="138">
        <v>55.679999999999993</v>
      </c>
    </row>
    <row r="8" spans="1:2" ht="19.5" customHeight="1" x14ac:dyDescent="0.2">
      <c r="A8" s="139">
        <v>6</v>
      </c>
      <c r="B8" s="138">
        <v>58.18</v>
      </c>
    </row>
    <row r="9" spans="1:2" ht="19.5" customHeight="1" x14ac:dyDescent="0.2">
      <c r="A9" s="139">
        <v>7</v>
      </c>
      <c r="B9" s="138">
        <v>60.29</v>
      </c>
    </row>
    <row r="10" spans="1:2" ht="19.5" customHeight="1" x14ac:dyDescent="0.2">
      <c r="A10" s="139">
        <v>8</v>
      </c>
      <c r="B10" s="138">
        <v>62.12</v>
      </c>
    </row>
    <row r="11" spans="1:2" ht="19.5" customHeight="1" x14ac:dyDescent="0.2">
      <c r="A11" s="139">
        <v>9</v>
      </c>
      <c r="B11" s="138">
        <v>63.73</v>
      </c>
    </row>
    <row r="12" spans="1:2" ht="19.5" customHeight="1" x14ac:dyDescent="0.2">
      <c r="A12" s="139">
        <v>10</v>
      </c>
      <c r="B12" s="138">
        <v>65.180000000000007</v>
      </c>
    </row>
    <row r="13" spans="1:2" ht="19.5" customHeight="1" x14ac:dyDescent="0.2">
      <c r="A13" s="139">
        <v>11</v>
      </c>
      <c r="B13" s="138">
        <v>66.47999999999999</v>
      </c>
    </row>
    <row r="14" spans="1:2" ht="19.5" customHeight="1" x14ac:dyDescent="0.2">
      <c r="A14" s="139">
        <v>12</v>
      </c>
      <c r="B14" s="138">
        <v>67.67</v>
      </c>
    </row>
    <row r="15" spans="1:2" ht="19.5" customHeight="1" x14ac:dyDescent="0.2">
      <c r="A15" s="139">
        <v>13</v>
      </c>
      <c r="B15" s="138">
        <v>68.77</v>
      </c>
    </row>
    <row r="16" spans="1:2" ht="19.5" customHeight="1" x14ac:dyDescent="0.2">
      <c r="A16" s="139">
        <v>14</v>
      </c>
      <c r="B16" s="138">
        <v>69.789999999999992</v>
      </c>
    </row>
    <row r="17" spans="1:2" ht="19.5" customHeight="1" thickBot="1" x14ac:dyDescent="0.25">
      <c r="A17" s="140">
        <v>15</v>
      </c>
      <c r="B17" s="141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23" t="s">
        <v>213</v>
      </c>
    </row>
    <row r="2" spans="1:1" x14ac:dyDescent="0.2">
      <c r="A2" s="220"/>
    </row>
    <row r="3" spans="1:1" x14ac:dyDescent="0.2">
      <c r="A3" s="220" t="s">
        <v>227</v>
      </c>
    </row>
    <row r="4" spans="1:1" x14ac:dyDescent="0.2">
      <c r="A4" s="220"/>
    </row>
    <row r="5" spans="1:1" x14ac:dyDescent="0.2">
      <c r="A5" s="220"/>
    </row>
    <row r="6" spans="1:1" x14ac:dyDescent="0.2">
      <c r="A6" s="220"/>
    </row>
    <row r="7" spans="1:1" x14ac:dyDescent="0.2">
      <c r="A7" s="220"/>
    </row>
    <row r="8" spans="1:1" x14ac:dyDescent="0.2">
      <c r="A8" s="220"/>
    </row>
    <row r="9" spans="1:1" x14ac:dyDescent="0.2">
      <c r="A9" s="220"/>
    </row>
    <row r="10" spans="1:1" x14ac:dyDescent="0.2">
      <c r="A10" s="220"/>
    </row>
    <row r="11" spans="1:1" x14ac:dyDescent="0.2">
      <c r="A11" s="220"/>
    </row>
    <row r="12" spans="1:1" ht="19.5" x14ac:dyDescent="0.35">
      <c r="A12" s="221" t="s">
        <v>210</v>
      </c>
    </row>
    <row r="13" spans="1:1" ht="15" x14ac:dyDescent="0.2">
      <c r="A13" s="221" t="s">
        <v>97</v>
      </c>
    </row>
    <row r="14" spans="1:1" ht="15" x14ac:dyDescent="0.2">
      <c r="A14" s="221" t="s">
        <v>102</v>
      </c>
    </row>
    <row r="15" spans="1:1" ht="19.5" x14ac:dyDescent="0.35">
      <c r="A15" s="221" t="s">
        <v>211</v>
      </c>
    </row>
    <row r="16" spans="1:1" ht="19.5" x14ac:dyDescent="0.35">
      <c r="A16" s="221" t="s">
        <v>212</v>
      </c>
    </row>
    <row r="17" spans="1:1" ht="15.75" thickBot="1" x14ac:dyDescent="0.25">
      <c r="A17" s="222" t="s">
        <v>98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A5" sqref="A5"/>
    </sheetView>
  </sheetViews>
  <sheetFormatPr defaultRowHeight="12.75" x14ac:dyDescent="0.2"/>
  <cols>
    <col min="1" max="1" width="58.28515625" style="244" customWidth="1"/>
    <col min="2" max="2" width="11.140625" style="244" bestFit="1" customWidth="1"/>
    <col min="3" max="3" width="11.28515625" style="244" bestFit="1" customWidth="1"/>
    <col min="4" max="16384" width="9.140625" style="244"/>
  </cols>
  <sheetData>
    <row r="1" spans="1:3" x14ac:dyDescent="0.2">
      <c r="A1" s="9" t="s">
        <v>187</v>
      </c>
    </row>
    <row r="2" spans="1:3" x14ac:dyDescent="0.2">
      <c r="A2" s="249"/>
    </row>
    <row r="3" spans="1:3" ht="15.75" x14ac:dyDescent="0.2">
      <c r="A3" s="339" t="s">
        <v>309</v>
      </c>
    </row>
    <row r="4" spans="1:3" x14ac:dyDescent="0.2">
      <c r="A4" s="5"/>
    </row>
    <row r="5" spans="1:3" x14ac:dyDescent="0.2">
      <c r="A5" s="5"/>
    </row>
    <row r="6" spans="1:3" ht="13.5" thickBot="1" x14ac:dyDescent="0.25"/>
    <row r="7" spans="1:3" ht="18" x14ac:dyDescent="0.25">
      <c r="A7" s="372" t="s">
        <v>253</v>
      </c>
      <c r="B7" s="373"/>
      <c r="C7" s="374"/>
    </row>
    <row r="8" spans="1:3" s="250" customFormat="1" ht="18" x14ac:dyDescent="0.25">
      <c r="A8" s="263"/>
      <c r="B8" s="262"/>
      <c r="C8" s="264"/>
    </row>
    <row r="9" spans="1:3" s="94" customFormat="1" ht="15" x14ac:dyDescent="0.25">
      <c r="A9" s="251" t="s">
        <v>254</v>
      </c>
      <c r="B9" s="252" t="s">
        <v>234</v>
      </c>
      <c r="C9" s="253" t="s">
        <v>129</v>
      </c>
    </row>
    <row r="10" spans="1:3" ht="14.25" x14ac:dyDescent="0.2">
      <c r="A10" s="254" t="s">
        <v>242</v>
      </c>
      <c r="B10" s="255" t="s">
        <v>235</v>
      </c>
      <c r="C10" s="269">
        <v>13395</v>
      </c>
    </row>
    <row r="11" spans="1:3" ht="14.25" x14ac:dyDescent="0.2">
      <c r="A11" s="177" t="s">
        <v>243</v>
      </c>
      <c r="B11" s="256" t="s">
        <v>240</v>
      </c>
      <c r="C11" s="257">
        <v>0.44800000000000001</v>
      </c>
    </row>
    <row r="12" spans="1:3" ht="14.25" x14ac:dyDescent="0.2">
      <c r="A12" s="177" t="s">
        <v>244</v>
      </c>
      <c r="B12" s="256" t="s">
        <v>241</v>
      </c>
      <c r="C12" s="304">
        <f>C10*C11/1000</f>
        <v>6.0009600000000001</v>
      </c>
    </row>
    <row r="13" spans="1:3" ht="14.25" x14ac:dyDescent="0.2">
      <c r="A13" s="177" t="s">
        <v>250</v>
      </c>
      <c r="B13" s="256" t="s">
        <v>236</v>
      </c>
      <c r="C13" s="303">
        <f>(C12*30)</f>
        <v>180.02879999999999</v>
      </c>
    </row>
    <row r="14" spans="1:3" ht="14.25" x14ac:dyDescent="0.2">
      <c r="A14" s="177" t="s">
        <v>246</v>
      </c>
      <c r="B14" s="256" t="s">
        <v>83</v>
      </c>
      <c r="C14" s="337">
        <v>5</v>
      </c>
    </row>
    <row r="15" spans="1:3" ht="14.25" x14ac:dyDescent="0.2">
      <c r="A15" s="177" t="s">
        <v>245</v>
      </c>
      <c r="B15" s="256" t="s">
        <v>241</v>
      </c>
      <c r="C15" s="258">
        <f>IFERROR(C12*7/C14,0)</f>
        <v>8.4013439999999999</v>
      </c>
    </row>
    <row r="16" spans="1:3" ht="14.25" x14ac:dyDescent="0.2">
      <c r="A16" s="254" t="s">
        <v>237</v>
      </c>
      <c r="B16" s="256" t="s">
        <v>238</v>
      </c>
      <c r="C16" s="201">
        <v>500</v>
      </c>
    </row>
    <row r="17" spans="1:3" ht="14.25" x14ac:dyDescent="0.2">
      <c r="A17" s="177" t="s">
        <v>251</v>
      </c>
      <c r="B17" s="256"/>
      <c r="C17" s="269">
        <v>1</v>
      </c>
    </row>
    <row r="18" spans="1:3" ht="14.25" x14ac:dyDescent="0.2">
      <c r="A18" s="254" t="s">
        <v>252</v>
      </c>
      <c r="B18" s="256" t="s">
        <v>239</v>
      </c>
      <c r="C18" s="269">
        <v>15</v>
      </c>
    </row>
    <row r="19" spans="1:3" ht="14.25" x14ac:dyDescent="0.2">
      <c r="A19" s="177" t="s">
        <v>247</v>
      </c>
      <c r="B19" s="256" t="s">
        <v>236</v>
      </c>
      <c r="C19" s="201">
        <f>IF(AND(C18&gt;=15,C17=1),5.8,C18/2)</f>
        <v>5.8</v>
      </c>
    </row>
    <row r="20" spans="1:3" ht="14.25" x14ac:dyDescent="0.2">
      <c r="A20" s="254" t="s">
        <v>248</v>
      </c>
      <c r="B20" s="256"/>
      <c r="C20" s="258">
        <f>IFERROR(C15/C19,0)</f>
        <v>1.4485075862068966</v>
      </c>
    </row>
    <row r="21" spans="1:3" ht="14.25" x14ac:dyDescent="0.2">
      <c r="A21" s="254" t="s">
        <v>255</v>
      </c>
      <c r="B21" s="256"/>
      <c r="C21" s="338">
        <v>1</v>
      </c>
    </row>
    <row r="22" spans="1:3" ht="15" thickBot="1" x14ac:dyDescent="0.25">
      <c r="A22" s="259" t="s">
        <v>249</v>
      </c>
      <c r="B22" s="260"/>
      <c r="C22" s="261">
        <f>IFERROR(C20/C21,0)</f>
        <v>1.4485075862068966</v>
      </c>
    </row>
  </sheetData>
  <mergeCells count="1">
    <mergeCell ref="A7:C7"/>
  </mergeCells>
  <conditionalFormatting sqref="C19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User</cp:lastModifiedBy>
  <cp:lastPrinted>2022-09-23T18:52:59Z</cp:lastPrinted>
  <dcterms:created xsi:type="dcterms:W3CDTF">2000-12-13T10:02:50Z</dcterms:created>
  <dcterms:modified xsi:type="dcterms:W3CDTF">2024-02-26T17:57:51Z</dcterms:modified>
</cp:coreProperties>
</file>